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-main\Public\米軍公文書・梅林コレクション\PDウェブサイト用\"/>
    </mc:Choice>
  </mc:AlternateContent>
  <xr:revisionPtr revIDLastSave="0" documentId="13_ncr:1_{71A03942-AF82-4F0A-8AB8-66B78E2B240D}" xr6:coauthVersionLast="47" xr6:coauthVersionMax="47" xr10:uidLastSave="{00000000-0000-0000-0000-000000000000}"/>
  <workbookProtection lockStructure="1"/>
  <bookViews>
    <workbookView xWindow="-120" yWindow="-120" windowWidth="29040" windowHeight="15840" firstSheet="61" activeTab="65" xr2:uid="{E5F01DCE-2BFB-5241-961F-6573043FC86B}"/>
  </bookViews>
  <sheets>
    <sheet name="LIST" sheetId="1" r:id="rId1"/>
    <sheet name="1. ANTIETAM" sheetId="50" r:id="rId2"/>
    <sheet name="2. BEAUFORT" sheetId="9" r:id="rId3"/>
    <sheet name="3. BELLEAU WOOD" sheetId="30" r:id="rId4"/>
    <sheet name="4. BLUE RIDGE" sheetId="10" r:id="rId5"/>
    <sheet name="5. BREMERTON" sheetId="51" r:id="rId6"/>
    <sheet name="6. BUNKER HILL" sheetId="33" r:id="rId7"/>
    <sheet name="7. BRIDGE" sheetId="48" r:id="rId8"/>
    <sheet name="8. CAMDEN" sheetId="3" r:id="rId9"/>
    <sheet name="9. CARL VINSON" sheetId="4" r:id="rId10"/>
    <sheet name="10. CHANCELLORSVILLE" sheetId="52" r:id="rId11"/>
    <sheet name="11. CORAL SEA" sheetId="8" r:id="rId12"/>
    <sheet name="12. COWPENS" sheetId="6" r:id="rId13"/>
    <sheet name="13. CURTIS WILBUR" sheetId="35" r:id="rId14"/>
    <sheet name="14. CURTS" sheetId="7" r:id="rId15"/>
    <sheet name="15. CUSHING" sheetId="53" r:id="rId16"/>
    <sheet name="16. DALLAS" sheetId="54" r:id="rId17"/>
    <sheet name="17. ESSEX" sheetId="34" r:id="rId18"/>
    <sheet name="18. ENTERPRISE" sheetId="49" r:id="rId19"/>
    <sheet name="19. FIFE" sheetId="2" r:id="rId20"/>
    <sheet name="20. FITZGERALD" sheetId="36" r:id="rId21"/>
    <sheet name="21. FLETCHER" sheetId="55" r:id="rId22"/>
    <sheet name="22. FRANK CABLE" sheetId="40" r:id="rId23"/>
    <sheet name="23. GEORGE WASHINGTON" sheetId="45" r:id="rId24"/>
    <sheet name="24. GERMANTOWN" sheetId="15" r:id="rId25"/>
    <sheet name="25. GUARDIAN" sheetId="14" r:id="rId26"/>
    <sheet name="26. HELENA" sheetId="56" r:id="rId27"/>
    <sheet name="27. HEWITT" sheetId="17" r:id="rId28"/>
    <sheet name="28. INDEPENDENCE" sheetId="19" r:id="rId29"/>
    <sheet name="29. INGERSOLL" sheetId="57" r:id="rId30"/>
    <sheet name="31. JOHN ERICSSON" sheetId="18" r:id="rId31"/>
    <sheet name="32. JOHN S. MCCAIN" sheetId="37" r:id="rId32"/>
    <sheet name="33. JOHN YOUNG" sheetId="58" r:id="rId33"/>
    <sheet name="34. KINKAID" sheetId="59" r:id="rId34"/>
    <sheet name="35. KITTY HAWK" sheetId="47" r:id="rId35"/>
    <sheet name="37. LAKE CHAMPLAIN" sheetId="60" r:id="rId36"/>
    <sheet name="38. LAKE ERIE" sheetId="38" r:id="rId37"/>
    <sheet name="39. LASSEN" sheetId="41" r:id="rId38"/>
    <sheet name="40. LONG BEACH" sheetId="61" r:id="rId39"/>
    <sheet name="41. McCLUSKY" sheetId="12" r:id="rId40"/>
    <sheet name="42. MERRILL" sheetId="70" r:id="rId41"/>
    <sheet name="43. MIDWAY" sheetId="20" r:id="rId42"/>
    <sheet name="44. MISSOURI" sheetId="62" r:id="rId43"/>
    <sheet name="45. MOBILE BAY" sheetId="11" r:id="rId44"/>
    <sheet name="46. NIMITZ" sheetId="13" r:id="rId45"/>
    <sheet name="47. O'BRIEN" sheetId="32" r:id="rId46"/>
    <sheet name="48. OBSERVATION ISLAND" sheetId="31" r:id="rId47"/>
    <sheet name="49. OHIO" sheetId="63" r:id="rId48"/>
    <sheet name="50. OLDENDORF" sheetId="64" r:id="rId49"/>
    <sheet name="51. PATRIOT" sheetId="21" r:id="rId50"/>
    <sheet name="52. PAUL HAMILTON" sheetId="22" r:id="rId51"/>
    <sheet name="53. PECOS" sheetId="23" r:id="rId52"/>
    <sheet name="54. PHOENIX" sheetId="65" r:id="rId53"/>
    <sheet name="55. POGY" sheetId="66" r:id="rId54"/>
    <sheet name="56. PRINCETON" sheetId="24" r:id="rId55"/>
    <sheet name="57. RANGER" sheetId="67" r:id="rId56"/>
    <sheet name="58. RAINIER" sheetId="46" r:id="rId57"/>
    <sheet name="59. REUBEN JAMES" sheetId="25" r:id="rId58"/>
    <sheet name="60. RODNEY M. DAVIS" sheetId="26" r:id="rId59"/>
    <sheet name="61. RONALD REAGAN" sheetId="44" r:id="rId60"/>
    <sheet name="62. SACRAMENTO" sheetId="27" r:id="rId61"/>
    <sheet name="64. SAN FRANCISCO" sheetId="68" r:id="rId62"/>
    <sheet name="66. STETHEM" sheetId="39" r:id="rId63"/>
    <sheet name="67. TENNESSEE" sheetId="69" r:id="rId64"/>
    <sheet name="68. THACH" sheetId="28" r:id="rId65"/>
    <sheet name="69. TICONDEROGA" sheetId="43" r:id="rId66"/>
    <sheet name="70. VANDEGRIFT" sheetId="29" r:id="rId6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2" i="1" l="1"/>
  <c r="C72" i="1"/>
  <c r="D72" i="1"/>
  <c r="G4" i="70"/>
  <c r="G4" i="12"/>
  <c r="G40" i="47"/>
  <c r="G4" i="52"/>
  <c r="G5" i="29"/>
  <c r="G55" i="43"/>
  <c r="G8" i="28"/>
  <c r="G4" i="69"/>
  <c r="G22" i="39"/>
  <c r="G4" i="68"/>
  <c r="G14" i="27"/>
  <c r="G65" i="44"/>
  <c r="G4" i="26"/>
  <c r="G9" i="25"/>
  <c r="G4" i="46"/>
  <c r="G4" i="67"/>
  <c r="G6" i="24"/>
  <c r="G4" i="66"/>
  <c r="G4" i="65"/>
  <c r="G5" i="23"/>
  <c r="G10" i="22"/>
  <c r="G25" i="21"/>
  <c r="G4" i="64"/>
  <c r="G4" i="63"/>
  <c r="G63" i="31"/>
  <c r="G13" i="32"/>
  <c r="G8" i="13"/>
  <c r="G13" i="11"/>
  <c r="G5" i="62"/>
  <c r="F554" i="20"/>
  <c r="G487" i="20"/>
  <c r="G4" i="61"/>
  <c r="G25" i="41"/>
  <c r="G13" i="38"/>
  <c r="G4" i="60"/>
  <c r="G4" i="59"/>
  <c r="G4" i="58"/>
  <c r="G60" i="37"/>
  <c r="G5" i="18"/>
  <c r="G4" i="57"/>
  <c r="F187" i="19"/>
  <c r="G156" i="19"/>
  <c r="G8" i="17"/>
  <c r="G4" i="56"/>
  <c r="G33" i="14"/>
  <c r="G38" i="15"/>
  <c r="G66" i="45"/>
  <c r="G4" i="55"/>
  <c r="G34" i="40"/>
  <c r="G93" i="36"/>
  <c r="F74" i="2"/>
  <c r="G63" i="2"/>
  <c r="G16" i="49"/>
  <c r="G237" i="34"/>
  <c r="G4" i="54"/>
  <c r="G4" i="53"/>
  <c r="G11" i="7"/>
  <c r="G79" i="35"/>
  <c r="G37" i="6"/>
  <c r="G4" i="8"/>
  <c r="G11" i="4"/>
  <c r="G24" i="3"/>
  <c r="G7" i="48"/>
  <c r="F104" i="33"/>
  <c r="G91" i="33"/>
  <c r="G4" i="51"/>
  <c r="G9" i="10"/>
  <c r="G4" i="50"/>
  <c r="G7" i="9"/>
  <c r="G105" i="30"/>
  <c r="E6" i="48"/>
  <c r="E23" i="3"/>
  <c r="E36" i="6"/>
  <c r="E54" i="43"/>
  <c r="E53" i="43"/>
  <c r="E52" i="43"/>
  <c r="E51" i="43"/>
  <c r="E50" i="43"/>
  <c r="E49" i="43"/>
  <c r="E48" i="43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1" i="19"/>
  <c r="E60" i="19"/>
  <c r="E58" i="19"/>
  <c r="E57" i="19"/>
  <c r="E55" i="19"/>
  <c r="E54" i="19"/>
  <c r="E53" i="19"/>
  <c r="E52" i="19"/>
  <c r="E51" i="19"/>
  <c r="E50" i="19"/>
  <c r="E49" i="19"/>
  <c r="E48" i="19"/>
  <c r="E47" i="19"/>
  <c r="E46" i="19"/>
  <c r="E44" i="19"/>
  <c r="E43" i="19"/>
  <c r="E42" i="19"/>
  <c r="E41" i="19"/>
  <c r="E40" i="19"/>
  <c r="E39" i="19"/>
  <c r="E37" i="19"/>
  <c r="E36" i="19"/>
  <c r="E35" i="19"/>
  <c r="E34" i="19"/>
  <c r="E31" i="19"/>
  <c r="E29" i="19"/>
  <c r="E28" i="19"/>
  <c r="E26" i="19"/>
  <c r="E47" i="43"/>
  <c r="E39" i="47"/>
  <c r="E38" i="47"/>
  <c r="E37" i="47"/>
  <c r="E36" i="47"/>
  <c r="E25" i="47"/>
  <c r="E24" i="47"/>
  <c r="E23" i="47"/>
  <c r="E22" i="47"/>
  <c r="E21" i="47"/>
  <c r="E20" i="47"/>
  <c r="E19" i="47"/>
  <c r="E18" i="47"/>
  <c r="E17" i="47"/>
  <c r="E16" i="47"/>
  <c r="E15" i="47"/>
  <c r="E12" i="47"/>
  <c r="E11" i="47"/>
  <c r="E10" i="47"/>
  <c r="E8" i="47"/>
  <c r="E6" i="47"/>
  <c r="E10" i="49"/>
  <c r="E12" i="49"/>
  <c r="E11" i="49"/>
  <c r="E9" i="49"/>
  <c r="E7" i="49"/>
  <c r="E4" i="49"/>
  <c r="E8" i="49"/>
  <c r="E6" i="49"/>
  <c r="E5" i="49"/>
  <c r="E15" i="49"/>
  <c r="E14" i="49"/>
  <c r="E13" i="49"/>
  <c r="E3" i="49"/>
  <c r="E5" i="48"/>
  <c r="E4" i="48"/>
  <c r="E3" i="48"/>
  <c r="E9" i="47"/>
  <c r="E14" i="47"/>
  <c r="E3" i="47"/>
  <c r="E5" i="47"/>
  <c r="E7" i="47"/>
  <c r="E34" i="47"/>
  <c r="E27" i="47"/>
  <c r="E31" i="47"/>
  <c r="E30" i="47"/>
  <c r="E29" i="47"/>
  <c r="E28" i="47"/>
  <c r="E33" i="47"/>
  <c r="E32" i="47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32" i="33"/>
  <c r="E31" i="33"/>
  <c r="E28" i="33"/>
  <c r="E27" i="33"/>
  <c r="E26" i="33"/>
  <c r="E25" i="33"/>
  <c r="E21" i="33"/>
  <c r="E20" i="33"/>
  <c r="E19" i="33"/>
  <c r="E18" i="33"/>
  <c r="E17" i="33"/>
  <c r="E13" i="33"/>
  <c r="E11" i="33"/>
  <c r="E24" i="19"/>
  <c r="E12" i="19"/>
  <c r="E10" i="19"/>
  <c r="E6" i="19"/>
  <c r="E4" i="19"/>
  <c r="E20" i="39"/>
  <c r="E90" i="36"/>
  <c r="E89" i="36"/>
  <c r="E88" i="36"/>
  <c r="E87" i="36"/>
  <c r="E86" i="36"/>
  <c r="E85" i="36"/>
  <c r="E84" i="36"/>
  <c r="E83" i="36"/>
  <c r="E82" i="36"/>
  <c r="E81" i="36"/>
  <c r="E80" i="36"/>
  <c r="E79" i="36"/>
  <c r="E66" i="36"/>
  <c r="E65" i="36"/>
  <c r="E64" i="36"/>
  <c r="E56" i="36"/>
  <c r="E55" i="36"/>
  <c r="E50" i="36"/>
  <c r="E49" i="36"/>
  <c r="E48" i="36"/>
  <c r="E47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18" i="36"/>
  <c r="E17" i="36"/>
  <c r="E16" i="36"/>
  <c r="E15" i="36"/>
  <c r="E14" i="36"/>
  <c r="E13" i="36"/>
  <c r="E12" i="36"/>
  <c r="E11" i="36"/>
  <c r="E10" i="36"/>
  <c r="E9" i="36"/>
  <c r="E8" i="36"/>
  <c r="E361" i="20"/>
  <c r="E360" i="20"/>
  <c r="E359" i="20"/>
  <c r="E358" i="20"/>
  <c r="E357" i="20"/>
  <c r="E356" i="20"/>
  <c r="E355" i="20"/>
  <c r="E354" i="20"/>
  <c r="E353" i="20"/>
  <c r="E352" i="20"/>
  <c r="E350" i="20"/>
  <c r="E349" i="20"/>
  <c r="E348" i="20"/>
  <c r="E347" i="20"/>
  <c r="E344" i="20"/>
  <c r="E343" i="20"/>
  <c r="E342" i="20"/>
  <c r="E340" i="20"/>
  <c r="E339" i="20"/>
  <c r="E338" i="20"/>
  <c r="E336" i="20"/>
  <c r="E335" i="20"/>
  <c r="E334" i="20"/>
  <c r="E333" i="20"/>
  <c r="E331" i="20"/>
  <c r="E330" i="20"/>
  <c r="E329" i="20"/>
  <c r="E328" i="20"/>
  <c r="E327" i="20"/>
  <c r="E326" i="20"/>
  <c r="E325" i="20"/>
  <c r="E323" i="20"/>
  <c r="E321" i="20"/>
  <c r="E320" i="20"/>
  <c r="E318" i="20"/>
  <c r="E317" i="20"/>
  <c r="E316" i="20"/>
  <c r="E315" i="20"/>
  <c r="E314" i="20"/>
  <c r="E313" i="20"/>
  <c r="E312" i="20"/>
  <c r="E310" i="20"/>
  <c r="E309" i="20"/>
  <c r="E308" i="20"/>
  <c r="E306" i="20"/>
  <c r="E305" i="20"/>
  <c r="E304" i="20"/>
  <c r="E303" i="20"/>
  <c r="E302" i="20"/>
  <c r="E300" i="20"/>
  <c r="E298" i="20"/>
  <c r="E297" i="20"/>
  <c r="E296" i="20"/>
  <c r="E295" i="20"/>
  <c r="E294" i="20"/>
  <c r="E292" i="20"/>
  <c r="E291" i="20"/>
  <c r="E290" i="20"/>
  <c r="E289" i="20"/>
  <c r="E288" i="20"/>
  <c r="E287" i="20"/>
  <c r="E285" i="20"/>
  <c r="E283" i="20"/>
  <c r="E282" i="20"/>
  <c r="E281" i="20"/>
  <c r="E279" i="20"/>
  <c r="E278" i="20"/>
  <c r="E277" i="20"/>
  <c r="E276" i="20"/>
  <c r="E275" i="20"/>
  <c r="E274" i="20"/>
  <c r="E273" i="20"/>
  <c r="E272" i="20"/>
  <c r="E271" i="20"/>
  <c r="E270" i="20"/>
  <c r="E269" i="20"/>
  <c r="E268" i="20"/>
  <c r="E267" i="20"/>
  <c r="E266" i="20"/>
  <c r="E265" i="20"/>
  <c r="E264" i="20"/>
  <c r="E263" i="20"/>
  <c r="E262" i="20"/>
  <c r="E261" i="20"/>
  <c r="E259" i="20"/>
  <c r="E258" i="20"/>
  <c r="E257" i="20"/>
  <c r="E256" i="20"/>
  <c r="E255" i="20"/>
  <c r="E253" i="20"/>
  <c r="E252" i="20"/>
  <c r="E251" i="20"/>
  <c r="E249" i="20"/>
  <c r="E248" i="20"/>
  <c r="E247" i="20"/>
  <c r="E246" i="20"/>
  <c r="E241" i="20"/>
  <c r="E240" i="20"/>
  <c r="E242" i="20"/>
  <c r="E245" i="20"/>
  <c r="E244" i="20"/>
  <c r="E243" i="20"/>
  <c r="E219" i="20"/>
  <c r="E218" i="20"/>
  <c r="E238" i="20"/>
  <c r="E237" i="20"/>
  <c r="E236" i="20"/>
  <c r="E235" i="20"/>
  <c r="E234" i="20"/>
  <c r="E233" i="20"/>
  <c r="E232" i="20"/>
  <c r="E230" i="20"/>
  <c r="E229" i="20"/>
  <c r="E228" i="20"/>
  <c r="E227" i="20"/>
  <c r="E226" i="20"/>
  <c r="E225" i="20"/>
  <c r="E224" i="20"/>
  <c r="E223" i="20"/>
  <c r="E222" i="20"/>
  <c r="E220" i="20"/>
  <c r="E217" i="20"/>
  <c r="E216" i="20"/>
  <c r="E215" i="20"/>
  <c r="E214" i="20"/>
  <c r="E212" i="20"/>
  <c r="E211" i="20"/>
  <c r="E210" i="20"/>
  <c r="E209" i="20"/>
  <c r="E208" i="20"/>
  <c r="E207" i="20"/>
  <c r="E205" i="20"/>
  <c r="E204" i="20"/>
  <c r="E203" i="20"/>
  <c r="E202" i="20"/>
  <c r="E201" i="20"/>
  <c r="E200" i="20"/>
  <c r="E199" i="20"/>
  <c r="E198" i="20"/>
  <c r="E197" i="20"/>
  <c r="E196" i="20"/>
  <c r="E194" i="20"/>
  <c r="E193" i="20"/>
  <c r="E192" i="20"/>
  <c r="E191" i="20"/>
  <c r="E190" i="20"/>
  <c r="E189" i="20"/>
  <c r="E188" i="20"/>
  <c r="E187" i="20"/>
  <c r="E186" i="20"/>
  <c r="E185" i="20"/>
  <c r="E176" i="20"/>
  <c r="E184" i="20"/>
  <c r="E182" i="20"/>
  <c r="E181" i="20"/>
  <c r="E180" i="20"/>
  <c r="E179" i="20"/>
  <c r="E178" i="20"/>
  <c r="E177" i="20"/>
  <c r="E168" i="20"/>
  <c r="E167" i="20"/>
  <c r="E166" i="20"/>
  <c r="E165" i="20"/>
  <c r="E164" i="20"/>
  <c r="E163" i="20"/>
  <c r="E162" i="20"/>
  <c r="E161" i="20"/>
  <c r="E160" i="20"/>
  <c r="E159" i="20"/>
  <c r="E158" i="20"/>
  <c r="E157" i="20"/>
  <c r="E156" i="20"/>
  <c r="E155" i="20"/>
  <c r="E154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19" i="20"/>
  <c r="E117" i="20"/>
  <c r="E115" i="20"/>
  <c r="E113" i="20"/>
  <c r="E111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2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E31" i="20"/>
  <c r="E30" i="20"/>
  <c r="E29" i="20"/>
  <c r="E28" i="20"/>
  <c r="E27" i="20"/>
  <c r="E26" i="20"/>
  <c r="E25" i="20"/>
  <c r="E24" i="20"/>
  <c r="E23" i="20"/>
  <c r="E18" i="43"/>
  <c r="E21" i="43"/>
  <c r="E23" i="43"/>
  <c r="E25" i="43"/>
  <c r="E29" i="43"/>
  <c r="E37" i="43"/>
  <c r="E41" i="43"/>
  <c r="E46" i="43"/>
  <c r="E45" i="43"/>
  <c r="E44" i="43"/>
  <c r="E43" i="43"/>
  <c r="E42" i="43"/>
  <c r="E40" i="43"/>
  <c r="E39" i="43"/>
  <c r="E38" i="43"/>
  <c r="E36" i="43"/>
  <c r="E35" i="43"/>
  <c r="E34" i="43"/>
  <c r="E33" i="43"/>
  <c r="E32" i="43"/>
  <c r="E31" i="43"/>
  <c r="E30" i="43"/>
  <c r="E28" i="43"/>
  <c r="E27" i="43"/>
  <c r="E26" i="43"/>
  <c r="E24" i="43"/>
  <c r="E22" i="43"/>
  <c r="E20" i="43"/>
  <c r="E19" i="43"/>
  <c r="E17" i="43"/>
  <c r="E16" i="43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50" i="45"/>
  <c r="E49" i="45"/>
  <c r="E48" i="45"/>
  <c r="E47" i="45"/>
  <c r="E46" i="45"/>
  <c r="E44" i="45"/>
  <c r="E45" i="45"/>
  <c r="E43" i="45"/>
  <c r="E42" i="45"/>
  <c r="E41" i="45"/>
  <c r="E40" i="45"/>
  <c r="E39" i="45"/>
  <c r="E38" i="45"/>
  <c r="E37" i="45"/>
  <c r="E36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E9" i="45"/>
  <c r="E8" i="45"/>
  <c r="E7" i="45"/>
  <c r="E6" i="45"/>
  <c r="E5" i="45"/>
  <c r="E4" i="45"/>
  <c r="E64" i="44"/>
  <c r="E63" i="44"/>
  <c r="E62" i="44"/>
  <c r="E61" i="44"/>
  <c r="E60" i="44"/>
  <c r="E59" i="44"/>
  <c r="E58" i="44"/>
  <c r="E57" i="44"/>
  <c r="E56" i="44"/>
  <c r="E55" i="44"/>
  <c r="E54" i="44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5" i="44"/>
  <c r="E4" i="44"/>
  <c r="E3" i="43"/>
  <c r="E174" i="20"/>
  <c r="E173" i="20"/>
  <c r="E172" i="20"/>
  <c r="E171" i="20"/>
  <c r="E170" i="20"/>
  <c r="E169" i="20"/>
  <c r="E470" i="20"/>
  <c r="E469" i="20"/>
  <c r="E468" i="20"/>
  <c r="E467" i="20"/>
  <c r="E464" i="20"/>
  <c r="E466" i="20"/>
  <c r="E465" i="20"/>
  <c r="E462" i="20"/>
  <c r="E461" i="20"/>
  <c r="E458" i="20"/>
  <c r="E463" i="20"/>
  <c r="E460" i="20"/>
  <c r="E459" i="20"/>
  <c r="E457" i="20"/>
  <c r="E456" i="20"/>
  <c r="E455" i="20"/>
  <c r="E454" i="20"/>
  <c r="E453" i="20"/>
  <c r="E452" i="20"/>
  <c r="E451" i="20"/>
  <c r="E450" i="20"/>
  <c r="E449" i="20"/>
  <c r="E448" i="20"/>
  <c r="E447" i="20"/>
  <c r="E446" i="20"/>
  <c r="E442" i="20"/>
  <c r="E445" i="20"/>
  <c r="E444" i="20"/>
  <c r="E443" i="20"/>
  <c r="E441" i="20"/>
  <c r="E440" i="20"/>
  <c r="E439" i="20"/>
  <c r="E438" i="20"/>
  <c r="E437" i="20"/>
  <c r="E436" i="20"/>
  <c r="E435" i="20"/>
  <c r="E434" i="20"/>
  <c r="E433" i="20"/>
  <c r="E432" i="20"/>
  <c r="E431" i="20"/>
  <c r="E427" i="20"/>
  <c r="E430" i="20"/>
  <c r="E429" i="20"/>
  <c r="E428" i="20"/>
  <c r="E426" i="20"/>
  <c r="E425" i="20"/>
  <c r="E424" i="20"/>
  <c r="E423" i="20"/>
  <c r="E422" i="20"/>
  <c r="E421" i="20"/>
  <c r="E420" i="20"/>
  <c r="E419" i="20"/>
  <c r="E418" i="20"/>
  <c r="E417" i="20"/>
  <c r="E472" i="20"/>
  <c r="E94" i="30"/>
  <c r="E93" i="30"/>
  <c r="E92" i="30"/>
  <c r="E91" i="30"/>
  <c r="E90" i="30"/>
  <c r="E89" i="30"/>
  <c r="E75" i="30"/>
  <c r="E74" i="30"/>
  <c r="E16" i="30"/>
  <c r="E62" i="36"/>
  <c r="E61" i="36"/>
  <c r="E77" i="36"/>
  <c r="E76" i="36"/>
  <c r="E75" i="36"/>
  <c r="E74" i="36"/>
  <c r="E73" i="36"/>
  <c r="E72" i="36"/>
  <c r="E70" i="36"/>
  <c r="E71" i="36"/>
  <c r="E69" i="36"/>
  <c r="E68" i="36"/>
  <c r="E60" i="36"/>
  <c r="E59" i="36"/>
  <c r="E58" i="36"/>
  <c r="E57" i="36"/>
  <c r="E53" i="36"/>
  <c r="E52" i="36"/>
  <c r="E45" i="36"/>
  <c r="E44" i="36"/>
  <c r="E43" i="36"/>
  <c r="E42" i="36"/>
  <c r="E41" i="36"/>
  <c r="E40" i="36"/>
  <c r="E39" i="36"/>
  <c r="E38" i="36"/>
  <c r="E24" i="36"/>
  <c r="E23" i="36"/>
  <c r="E22" i="36"/>
  <c r="E21" i="36"/>
  <c r="E20" i="36"/>
  <c r="E19" i="36"/>
  <c r="E7" i="36"/>
  <c r="E6" i="36"/>
  <c r="E3" i="36"/>
  <c r="E4" i="36"/>
  <c r="E24" i="41"/>
  <c r="E23" i="41"/>
  <c r="E22" i="41"/>
  <c r="E21" i="41"/>
  <c r="E20" i="41"/>
  <c r="E18" i="41"/>
  <c r="E17" i="41"/>
  <c r="E16" i="41"/>
  <c r="E15" i="41"/>
  <c r="E14" i="41"/>
  <c r="E13" i="41"/>
  <c r="E12" i="41"/>
  <c r="E11" i="41"/>
  <c r="E10" i="41"/>
  <c r="E9" i="41"/>
  <c r="E8" i="41"/>
  <c r="E7" i="41"/>
  <c r="E6" i="41"/>
  <c r="E5" i="41"/>
  <c r="E4" i="41"/>
  <c r="E33" i="40"/>
  <c r="E32" i="40"/>
  <c r="E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E8" i="40"/>
  <c r="E7" i="40"/>
  <c r="E6" i="40"/>
  <c r="E5" i="40"/>
  <c r="E4" i="40"/>
  <c r="E21" i="39"/>
  <c r="E19" i="39"/>
  <c r="E16" i="39"/>
  <c r="E14" i="39"/>
  <c r="E13" i="39"/>
  <c r="E12" i="39"/>
  <c r="E10" i="39"/>
  <c r="E9" i="39"/>
  <c r="E8" i="39"/>
  <c r="E7" i="39"/>
  <c r="E6" i="39"/>
  <c r="E5" i="39"/>
  <c r="E3" i="39"/>
  <c r="E11" i="38"/>
  <c r="E10" i="38"/>
  <c r="E9" i="38"/>
  <c r="E8" i="38"/>
  <c r="E7" i="38"/>
  <c r="E6" i="38"/>
  <c r="E5" i="38"/>
  <c r="E3" i="38"/>
  <c r="E37" i="37"/>
  <c r="E36" i="37"/>
  <c r="E35" i="37"/>
  <c r="E34" i="37"/>
  <c r="E33" i="37"/>
  <c r="E32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E52" i="37"/>
  <c r="E51" i="37"/>
  <c r="E50" i="37"/>
  <c r="E49" i="37"/>
  <c r="E48" i="37"/>
  <c r="E47" i="37"/>
  <c r="E46" i="37"/>
  <c r="E45" i="37"/>
  <c r="E44" i="37"/>
  <c r="E55" i="37"/>
  <c r="E54" i="37"/>
  <c r="E53" i="37"/>
  <c r="E43" i="37"/>
  <c r="E42" i="37"/>
  <c r="E41" i="37"/>
  <c r="E40" i="37"/>
  <c r="E39" i="37"/>
  <c r="E38" i="37"/>
  <c r="E3" i="37"/>
  <c r="E78" i="35"/>
  <c r="E77" i="35"/>
  <c r="E76" i="35"/>
  <c r="E75" i="35"/>
  <c r="E74" i="35"/>
  <c r="E73" i="35"/>
  <c r="E72" i="35"/>
  <c r="E71" i="35"/>
  <c r="E70" i="35"/>
  <c r="E69" i="35"/>
  <c r="E68" i="35"/>
  <c r="E66" i="35"/>
  <c r="E65" i="35"/>
  <c r="E64" i="35"/>
  <c r="E63" i="35"/>
  <c r="E62" i="35"/>
  <c r="E61" i="35"/>
  <c r="E60" i="35"/>
  <c r="E59" i="35"/>
  <c r="E58" i="35"/>
  <c r="E57" i="35"/>
  <c r="E56" i="35"/>
  <c r="E55" i="35"/>
  <c r="E54" i="35"/>
  <c r="E53" i="35"/>
  <c r="E52" i="35"/>
  <c r="E51" i="35"/>
  <c r="E42" i="35"/>
  <c r="E41" i="35"/>
  <c r="E40" i="35"/>
  <c r="E38" i="35"/>
  <c r="E37" i="35"/>
  <c r="E36" i="35"/>
  <c r="E35" i="35"/>
  <c r="E34" i="35"/>
  <c r="E49" i="35"/>
  <c r="E48" i="35"/>
  <c r="E47" i="35"/>
  <c r="E46" i="35"/>
  <c r="E45" i="35"/>
  <c r="E44" i="35"/>
  <c r="E43" i="35"/>
  <c r="E32" i="35"/>
  <c r="E31" i="35"/>
  <c r="E30" i="35"/>
  <c r="E29" i="35"/>
  <c r="E28" i="35"/>
  <c r="E27" i="35"/>
  <c r="E26" i="35"/>
  <c r="E25" i="35"/>
  <c r="E23" i="35"/>
  <c r="E22" i="35"/>
  <c r="E21" i="35"/>
  <c r="E19" i="35"/>
  <c r="E18" i="35"/>
  <c r="E17" i="35"/>
  <c r="E16" i="35"/>
  <c r="E15" i="35"/>
  <c r="E14" i="35"/>
  <c r="E13" i="35"/>
  <c r="E12" i="35"/>
  <c r="E11" i="35"/>
  <c r="E9" i="35"/>
  <c r="E8" i="35"/>
  <c r="E7" i="35"/>
  <c r="E6" i="35"/>
  <c r="E4" i="35"/>
  <c r="E3" i="35"/>
  <c r="E231" i="34"/>
  <c r="E230" i="34"/>
  <c r="E229" i="34"/>
  <c r="E228" i="34"/>
  <c r="E227" i="34"/>
  <c r="E225" i="34"/>
  <c r="E224" i="34"/>
  <c r="E223" i="34"/>
  <c r="E222" i="34"/>
  <c r="E221" i="34"/>
  <c r="E220" i="34"/>
  <c r="E219" i="34"/>
  <c r="E218" i="34"/>
  <c r="E217" i="34"/>
  <c r="E216" i="34"/>
  <c r="E215" i="34"/>
  <c r="E214" i="34"/>
  <c r="E213" i="34"/>
  <c r="E212" i="34"/>
  <c r="E211" i="34"/>
  <c r="E210" i="34"/>
  <c r="E209" i="34"/>
  <c r="E208" i="34"/>
  <c r="E207" i="34"/>
  <c r="E206" i="34"/>
  <c r="E205" i="34"/>
  <c r="E204" i="34"/>
  <c r="E203" i="34"/>
  <c r="E202" i="34"/>
  <c r="E201" i="34"/>
  <c r="E200" i="34"/>
  <c r="E198" i="34"/>
  <c r="E197" i="34"/>
  <c r="E195" i="34"/>
  <c r="E194" i="34"/>
  <c r="E193" i="34"/>
  <c r="E192" i="34"/>
  <c r="E191" i="34"/>
  <c r="E190" i="34"/>
  <c r="E189" i="34"/>
  <c r="E188" i="34"/>
  <c r="E186" i="34"/>
  <c r="E185" i="34"/>
  <c r="E184" i="34"/>
  <c r="E183" i="34"/>
  <c r="E182" i="34"/>
  <c r="E181" i="34"/>
  <c r="E180" i="34"/>
  <c r="E179" i="34"/>
  <c r="E178" i="34"/>
  <c r="E177" i="34"/>
  <c r="E175" i="34"/>
  <c r="E174" i="34"/>
  <c r="E173" i="34"/>
  <c r="E172" i="34"/>
  <c r="E171" i="34"/>
  <c r="E170" i="34"/>
  <c r="E169" i="34"/>
  <c r="E168" i="34"/>
  <c r="E167" i="34"/>
  <c r="E166" i="34"/>
  <c r="E165" i="34"/>
  <c r="E164" i="34"/>
  <c r="E163" i="34"/>
  <c r="E162" i="34"/>
  <c r="E161" i="34"/>
  <c r="E160" i="34"/>
  <c r="E159" i="34"/>
  <c r="E158" i="34"/>
  <c r="E157" i="34"/>
  <c r="E156" i="34"/>
  <c r="E155" i="34"/>
  <c r="E154" i="34"/>
  <c r="E153" i="34"/>
  <c r="E152" i="34"/>
  <c r="E151" i="34"/>
  <c r="E150" i="34"/>
  <c r="E149" i="34"/>
  <c r="E148" i="34"/>
  <c r="E147" i="34"/>
  <c r="E146" i="34"/>
  <c r="E145" i="34"/>
  <c r="E143" i="34"/>
  <c r="E142" i="34"/>
  <c r="E140" i="34"/>
  <c r="E139" i="34"/>
  <c r="E138" i="34"/>
  <c r="E137" i="34"/>
  <c r="E136" i="34"/>
  <c r="E135" i="34"/>
  <c r="E134" i="34"/>
  <c r="E133" i="34"/>
  <c r="E132" i="34"/>
  <c r="E131" i="34"/>
  <c r="E130" i="34"/>
  <c r="E129" i="34"/>
  <c r="E128" i="34"/>
  <c r="E127" i="34"/>
  <c r="E126" i="34"/>
  <c r="E125" i="34"/>
  <c r="E124" i="34"/>
  <c r="E123" i="34"/>
  <c r="E122" i="34"/>
  <c r="E120" i="34"/>
  <c r="E119" i="34"/>
  <c r="E118" i="34"/>
  <c r="E117" i="34"/>
  <c r="E116" i="34"/>
  <c r="E115" i="34"/>
  <c r="E113" i="34"/>
  <c r="E112" i="34"/>
  <c r="E111" i="34"/>
  <c r="E110" i="34"/>
  <c r="E109" i="34"/>
  <c r="E108" i="34"/>
  <c r="E107" i="34"/>
  <c r="E106" i="34"/>
  <c r="E104" i="34"/>
  <c r="E103" i="34"/>
  <c r="E102" i="34"/>
  <c r="E101" i="34"/>
  <c r="E100" i="34"/>
  <c r="E99" i="34"/>
  <c r="E98" i="34"/>
  <c r="E97" i="34"/>
  <c r="E96" i="34"/>
  <c r="E95" i="34"/>
  <c r="E94" i="34"/>
  <c r="E93" i="34"/>
  <c r="E92" i="34"/>
  <c r="E90" i="34"/>
  <c r="E89" i="34"/>
  <c r="E88" i="34"/>
  <c r="E87" i="34"/>
  <c r="E86" i="34"/>
  <c r="E85" i="34"/>
  <c r="E84" i="34"/>
  <c r="E83" i="34"/>
  <c r="E82" i="34"/>
  <c r="E81" i="34"/>
  <c r="E80" i="34"/>
  <c r="E79" i="34"/>
  <c r="E78" i="34"/>
  <c r="E77" i="34"/>
  <c r="E76" i="34"/>
  <c r="E75" i="34"/>
  <c r="E74" i="34"/>
  <c r="E73" i="34"/>
  <c r="E72" i="34"/>
  <c r="E71" i="34"/>
  <c r="E69" i="34"/>
  <c r="E68" i="34"/>
  <c r="E67" i="34"/>
  <c r="E66" i="34"/>
  <c r="E65" i="34"/>
  <c r="E64" i="34"/>
  <c r="E63" i="34"/>
  <c r="E62" i="34"/>
  <c r="E61" i="34"/>
  <c r="E60" i="34"/>
  <c r="E59" i="34"/>
  <c r="E58" i="34"/>
  <c r="E57" i="34"/>
  <c r="E56" i="34"/>
  <c r="E54" i="34"/>
  <c r="E52" i="34"/>
  <c r="E51" i="34"/>
  <c r="E50" i="34"/>
  <c r="E49" i="34"/>
  <c r="E48" i="34"/>
  <c r="E47" i="34"/>
  <c r="E46" i="34"/>
  <c r="E45" i="34"/>
  <c r="E43" i="34"/>
  <c r="E42" i="34"/>
  <c r="E41" i="34"/>
  <c r="E40" i="34"/>
  <c r="E38" i="34"/>
  <c r="E37" i="34"/>
  <c r="E36" i="34"/>
  <c r="E35" i="34"/>
  <c r="E34" i="34"/>
  <c r="E33" i="34"/>
  <c r="E32" i="34"/>
  <c r="E31" i="34"/>
  <c r="E30" i="34"/>
  <c r="E29" i="34"/>
  <c r="E28" i="34"/>
  <c r="E27" i="34"/>
  <c r="E26" i="34"/>
  <c r="E22" i="34"/>
  <c r="E25" i="34"/>
  <c r="E24" i="34"/>
  <c r="E23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5" i="34"/>
  <c r="E4" i="34"/>
  <c r="E3" i="34"/>
  <c r="E471" i="20"/>
  <c r="E20" i="20"/>
  <c r="E19" i="20"/>
  <c r="E18" i="20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43" i="33"/>
  <c r="E42" i="33"/>
  <c r="E41" i="33"/>
  <c r="E40" i="33"/>
  <c r="E39" i="33"/>
  <c r="E38" i="33"/>
  <c r="E37" i="33"/>
  <c r="E36" i="33"/>
  <c r="E35" i="33"/>
  <c r="E34" i="33"/>
  <c r="E33" i="33"/>
  <c r="E30" i="33"/>
  <c r="E29" i="33"/>
  <c r="E24" i="33"/>
  <c r="E23" i="33"/>
  <c r="E22" i="33"/>
  <c r="E14" i="33"/>
  <c r="E9" i="33"/>
  <c r="E8" i="33"/>
  <c r="E12" i="33"/>
  <c r="E7" i="33"/>
  <c r="E6" i="33"/>
  <c r="E5" i="33"/>
  <c r="E10" i="33"/>
  <c r="E4" i="33"/>
  <c r="E3" i="33"/>
  <c r="E11" i="32"/>
  <c r="E10" i="32"/>
  <c r="E9" i="32"/>
  <c r="E8" i="32"/>
  <c r="E7" i="32"/>
  <c r="E6" i="32"/>
  <c r="E5" i="32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99" i="30"/>
  <c r="E98" i="30"/>
  <c r="E97" i="30"/>
  <c r="E96" i="30"/>
  <c r="E95" i="30"/>
  <c r="E87" i="30"/>
  <c r="E86" i="30"/>
  <c r="E85" i="30"/>
  <c r="E84" i="30"/>
  <c r="E83" i="30"/>
  <c r="E82" i="30"/>
  <c r="E81" i="30"/>
  <c r="E80" i="30"/>
  <c r="E79" i="30"/>
  <c r="E78" i="30"/>
  <c r="E77" i="30"/>
  <c r="E76" i="30"/>
  <c r="E73" i="30"/>
  <c r="E72" i="30"/>
  <c r="E71" i="30"/>
  <c r="E70" i="30"/>
  <c r="E69" i="30"/>
  <c r="E68" i="30"/>
  <c r="E67" i="30"/>
  <c r="E66" i="30"/>
  <c r="E65" i="30"/>
  <c r="E64" i="30"/>
  <c r="E63" i="30"/>
  <c r="E62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5" i="30"/>
  <c r="E14" i="30"/>
  <c r="E13" i="30"/>
  <c r="E11" i="30"/>
  <c r="E10" i="30"/>
  <c r="E9" i="30"/>
  <c r="E8" i="30"/>
  <c r="E7" i="30"/>
  <c r="E5" i="30"/>
  <c r="E4" i="30"/>
  <c r="E3" i="30"/>
  <c r="E4" i="29"/>
  <c r="E6" i="28"/>
  <c r="E4" i="28"/>
  <c r="E3" i="28"/>
  <c r="E12" i="27"/>
  <c r="E11" i="27"/>
  <c r="E10" i="27"/>
  <c r="E9" i="27"/>
  <c r="E8" i="27"/>
  <c r="E7" i="27"/>
  <c r="E6" i="27"/>
  <c r="E5" i="27"/>
  <c r="E4" i="27"/>
  <c r="E7" i="25"/>
  <c r="E6" i="25"/>
  <c r="E5" i="25"/>
  <c r="E3" i="25"/>
  <c r="E4" i="24"/>
  <c r="E3" i="24"/>
  <c r="E4" i="23"/>
  <c r="E3" i="23"/>
  <c r="E7" i="22"/>
  <c r="E8" i="22"/>
  <c r="E6" i="22"/>
  <c r="E4" i="22"/>
  <c r="E3" i="22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413" i="20"/>
  <c r="E412" i="20"/>
  <c r="E411" i="20"/>
  <c r="E410" i="20"/>
  <c r="E409" i="20"/>
  <c r="E408" i="20"/>
  <c r="E407" i="20"/>
  <c r="E405" i="20"/>
  <c r="E404" i="20"/>
  <c r="E403" i="20"/>
  <c r="E402" i="20"/>
  <c r="E401" i="20"/>
  <c r="E400" i="20"/>
  <c r="E399" i="20"/>
  <c r="E398" i="20"/>
  <c r="E397" i="20"/>
  <c r="E396" i="20"/>
  <c r="E394" i="20"/>
  <c r="E393" i="20"/>
  <c r="E392" i="20"/>
  <c r="E391" i="20"/>
  <c r="E390" i="20"/>
  <c r="E389" i="20"/>
  <c r="E388" i="20"/>
  <c r="E387" i="20"/>
  <c r="E386" i="20"/>
  <c r="E385" i="20"/>
  <c r="E384" i="20"/>
  <c r="E383" i="20"/>
  <c r="E382" i="20"/>
  <c r="E381" i="20"/>
  <c r="E379" i="20"/>
  <c r="E378" i="20"/>
  <c r="E377" i="20"/>
  <c r="E376" i="20"/>
  <c r="E375" i="20"/>
  <c r="E373" i="20"/>
  <c r="E372" i="20"/>
  <c r="E16" i="20"/>
  <c r="E15" i="20"/>
  <c r="E12" i="20"/>
  <c r="E11" i="20"/>
  <c r="E10" i="20"/>
  <c r="E9" i="20"/>
  <c r="E8" i="20"/>
  <c r="E7" i="20"/>
  <c r="E6" i="20"/>
  <c r="E5" i="20"/>
  <c r="E13" i="19"/>
  <c r="E11" i="19"/>
  <c r="E9" i="19"/>
  <c r="E3" i="19"/>
  <c r="E3" i="18"/>
  <c r="E7" i="17"/>
  <c r="E36" i="15"/>
  <c r="E35" i="15"/>
  <c r="E34" i="15"/>
  <c r="E33" i="15"/>
  <c r="E32" i="15"/>
  <c r="E31" i="15"/>
  <c r="E30" i="15"/>
  <c r="E29" i="15"/>
  <c r="E28" i="15"/>
  <c r="E27" i="15"/>
  <c r="E26" i="15"/>
  <c r="E24" i="15"/>
  <c r="E23" i="15"/>
  <c r="E22" i="15"/>
  <c r="E21" i="15"/>
  <c r="E25" i="15"/>
  <c r="E20" i="15"/>
  <c r="E19" i="15"/>
  <c r="E18" i="15"/>
  <c r="E17" i="15"/>
  <c r="E16" i="15"/>
  <c r="E15" i="15"/>
  <c r="E14" i="15"/>
  <c r="E13" i="15"/>
  <c r="E12" i="15"/>
  <c r="E11" i="15"/>
  <c r="E10" i="15"/>
  <c r="E8" i="15"/>
  <c r="E7" i="15"/>
  <c r="E6" i="15"/>
  <c r="E5" i="15"/>
  <c r="E4" i="15"/>
  <c r="E3" i="15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3" i="14"/>
  <c r="E6" i="13"/>
  <c r="E5" i="13"/>
  <c r="E4" i="13"/>
  <c r="E3" i="13"/>
  <c r="E8" i="11"/>
  <c r="E9" i="11"/>
  <c r="E7" i="11"/>
  <c r="E5" i="11"/>
  <c r="E4" i="11"/>
  <c r="E7" i="10"/>
  <c r="E6" i="10"/>
  <c r="E5" i="10"/>
  <c r="E4" i="10"/>
  <c r="E3" i="10"/>
  <c r="E6" i="9"/>
  <c r="E3" i="8"/>
  <c r="E10" i="7"/>
  <c r="E9" i="7"/>
  <c r="E8" i="7"/>
  <c r="E6" i="7"/>
  <c r="E4" i="7"/>
  <c r="E3" i="7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9" i="4"/>
  <c r="E8" i="4"/>
  <c r="E7" i="4"/>
  <c r="E6" i="4"/>
  <c r="E5" i="4"/>
  <c r="E4" i="4"/>
  <c r="E3" i="4"/>
  <c r="E22" i="3"/>
  <c r="E21" i="3"/>
  <c r="E20" i="3"/>
  <c r="E18" i="3"/>
  <c r="E17" i="3"/>
  <c r="E6" i="3"/>
  <c r="E12" i="3"/>
  <c r="E10" i="3"/>
  <c r="E8" i="3"/>
  <c r="E13" i="3"/>
  <c r="E11" i="3"/>
  <c r="E9" i="3"/>
  <c r="E7" i="3"/>
  <c r="E4" i="3"/>
  <c r="E3" i="3"/>
  <c r="E56" i="2"/>
  <c r="E55" i="2"/>
  <c r="E53" i="2"/>
  <c r="E52" i="2"/>
  <c r="E51" i="2"/>
  <c r="E39" i="2"/>
  <c r="E38" i="2"/>
  <c r="E37" i="2"/>
  <c r="E36" i="2"/>
  <c r="E30" i="2"/>
  <c r="E31" i="2"/>
  <c r="E32" i="2"/>
  <c r="E33" i="2"/>
  <c r="E34" i="2"/>
  <c r="E35" i="2"/>
  <c r="E28" i="2"/>
  <c r="E27" i="2"/>
  <c r="E26" i="2"/>
  <c r="E22" i="2"/>
  <c r="E21" i="2"/>
  <c r="E20" i="2"/>
  <c r="E19" i="2"/>
  <c r="E13" i="2"/>
  <c r="E14" i="2"/>
  <c r="E15" i="2"/>
  <c r="E16" i="2"/>
  <c r="E17" i="2"/>
  <c r="E18" i="2"/>
  <c r="E61" i="2"/>
  <c r="E60" i="2"/>
  <c r="E59" i="2"/>
  <c r="E58" i="2"/>
  <c r="E57" i="2"/>
  <c r="E54" i="2"/>
  <c r="E50" i="2"/>
  <c r="E48" i="2"/>
  <c r="E47" i="2"/>
  <c r="E46" i="2"/>
  <c r="E45" i="2"/>
  <c r="E44" i="2"/>
  <c r="E43" i="2"/>
  <c r="E42" i="2"/>
  <c r="E41" i="2"/>
  <c r="E40" i="2"/>
  <c r="E29" i="2"/>
  <c r="E25" i="2"/>
  <c r="E24" i="2"/>
  <c r="E23" i="2"/>
  <c r="E12" i="2"/>
  <c r="E11" i="2"/>
  <c r="E10" i="2"/>
  <c r="E9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<sst xmlns="http://schemas.openxmlformats.org/spreadsheetml/2006/main" count="4281" uniqueCount="691">
  <si>
    <t>No.</t>
    <phoneticPr fontId="1"/>
  </si>
  <si>
    <t>Ships</t>
    <phoneticPr fontId="1"/>
  </si>
  <si>
    <t>Number of Document Pages</t>
  </si>
  <si>
    <t>Number of Microfiche Sheets</t>
  </si>
  <si>
    <t>Box</t>
    <phoneticPr fontId="1"/>
  </si>
  <si>
    <t>ANTIETAM (CG)</t>
    <phoneticPr fontId="1"/>
  </si>
  <si>
    <t>BREMERTON (SSN)</t>
    <phoneticPr fontId="1"/>
  </si>
  <si>
    <t>BRIDGE (AOE)</t>
    <phoneticPr fontId="1"/>
  </si>
  <si>
    <t>CHANCELLORSVILLE (CG)</t>
    <phoneticPr fontId="1"/>
  </si>
  <si>
    <t>CUSHING (DD)</t>
    <phoneticPr fontId="1"/>
  </si>
  <si>
    <t>DALLAS (SSN)</t>
    <phoneticPr fontId="1"/>
  </si>
  <si>
    <t>ENTERPRISE (CVAN)</t>
    <phoneticPr fontId="1"/>
  </si>
  <si>
    <t>FLETCHER (DD)</t>
    <phoneticPr fontId="1"/>
  </si>
  <si>
    <t>HELENA (SSN)</t>
    <phoneticPr fontId="1"/>
  </si>
  <si>
    <t>51,52</t>
    <phoneticPr fontId="1"/>
  </si>
  <si>
    <t>INGERSOLL (DD)</t>
    <phoneticPr fontId="1"/>
  </si>
  <si>
    <t>(42: ISSUES: NUCLEAR PROPULSION ACCIDENTS)</t>
    <phoneticPr fontId="1"/>
  </si>
  <si>
    <t>JOHN YOUNG (DD)</t>
    <phoneticPr fontId="1"/>
  </si>
  <si>
    <t>KINKAID (DD)</t>
    <phoneticPr fontId="1"/>
  </si>
  <si>
    <t>KITTY HAWK (CV)</t>
    <phoneticPr fontId="1"/>
  </si>
  <si>
    <t>LA JOLLA (SSN)</t>
  </si>
  <si>
    <t>(42: ISSUES: NUCLEAR PROPULSION)</t>
    <phoneticPr fontId="1"/>
  </si>
  <si>
    <t>LAKE CHAMPLAIN (CG)</t>
    <phoneticPr fontId="1"/>
  </si>
  <si>
    <t>LONG BEACH (CGN)</t>
    <phoneticPr fontId="1"/>
  </si>
  <si>
    <t>MERRILL (DD)</t>
    <phoneticPr fontId="1"/>
  </si>
  <si>
    <t>55,56</t>
    <phoneticPr fontId="1"/>
  </si>
  <si>
    <t>MISSOURI (BB)</t>
    <phoneticPr fontId="1"/>
  </si>
  <si>
    <r>
      <t>5(</t>
    </r>
    <r>
      <rPr>
        <sz val="10"/>
        <color theme="1"/>
        <rFont val="ＭＳ Ｐゴシック"/>
        <family val="2"/>
        <charset val="128"/>
      </rPr>
      <t>＋</t>
    </r>
    <r>
      <rPr>
        <sz val="10"/>
        <color theme="1"/>
        <rFont val="Arial"/>
        <family val="2"/>
      </rPr>
      <t>13)</t>
    </r>
    <phoneticPr fontId="1"/>
  </si>
  <si>
    <t>18(＋478)</t>
  </si>
  <si>
    <t>54(＋36,37,38,39,40: ISSUES: AIRCRAFT CARRIERS &amp; NUCLEAR PROPULSION ACCIDENTS)</t>
  </si>
  <si>
    <t>OHIO (SSBN)</t>
    <phoneticPr fontId="1"/>
  </si>
  <si>
    <t>OLDENDORF (DD)</t>
    <phoneticPr fontId="1"/>
  </si>
  <si>
    <t>PHOENIX (SSN)</t>
    <phoneticPr fontId="1"/>
  </si>
  <si>
    <t>POGY (SSN)</t>
    <phoneticPr fontId="1"/>
  </si>
  <si>
    <t>RANGER (CV)</t>
    <phoneticPr fontId="1"/>
  </si>
  <si>
    <t>SALT LAKE CITY (SSN)</t>
    <phoneticPr fontId="1"/>
  </si>
  <si>
    <t>(42: ISSUES: NUCLEAR PROPULSION )</t>
  </si>
  <si>
    <t>SAN FRANCISCO (SSN)</t>
    <phoneticPr fontId="1"/>
  </si>
  <si>
    <t>SARGO (SSN)</t>
    <phoneticPr fontId="1"/>
  </si>
  <si>
    <t>TENNESSEE (SSBN)</t>
    <phoneticPr fontId="1"/>
  </si>
  <si>
    <t>SHIPS - 1. ANTIETAM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</si>
  <si>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</si>
  <si>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</si>
  <si>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</si>
  <si>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</si>
  <si>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</si>
  <si>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</si>
  <si>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</si>
  <si>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</si>
  <si>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ANTIETAM (CG 54)</t>
    <phoneticPr fontId="1"/>
  </si>
  <si>
    <t>NO DATE</t>
    <phoneticPr fontId="1"/>
  </si>
  <si>
    <t>Letter</t>
    <phoneticPr fontId="1"/>
  </si>
  <si>
    <t>SHIPS - 2. BEAUFORT</t>
    <phoneticPr fontId="1"/>
  </si>
  <si>
    <t>COMMAND HISTORY FOR 1992</t>
    <phoneticPr fontId="1"/>
  </si>
  <si>
    <t>USS BEAUFORT (ATS 2)</t>
  </si>
  <si>
    <t>COMMAND HISTORY FOR 1993</t>
    <phoneticPr fontId="1"/>
  </si>
  <si>
    <t>COMMAND HISTORY FOR 1994</t>
    <phoneticPr fontId="1"/>
  </si>
  <si>
    <t>USS BEAUFORT EFFECTIVE INSTRUCTIONS AND NOTICES</t>
  </si>
  <si>
    <t>BEAUFORTNOTE 5215</t>
    <phoneticPr fontId="1"/>
  </si>
  <si>
    <t>SHIPS - 3. BELLEAU WOOD</t>
    <phoneticPr fontId="1"/>
  </si>
  <si>
    <t>COMMAND HISTORY FOR 1989</t>
    <phoneticPr fontId="1"/>
  </si>
  <si>
    <t>OPNAVINST 5750.12D</t>
    <phoneticPr fontId="1"/>
  </si>
  <si>
    <t>USS BELLEAU WOOD (LHA-3)</t>
    <phoneticPr fontId="1"/>
  </si>
  <si>
    <t>COMMAND HISTORY FOR 1990</t>
    <phoneticPr fontId="1"/>
  </si>
  <si>
    <t>OPNAVINST 5750.12E</t>
    <phoneticPr fontId="1"/>
  </si>
  <si>
    <t>COMMAND HISTORY FOR 1991</t>
    <phoneticPr fontId="1"/>
  </si>
  <si>
    <t>OPNAVINST 5750.12E</t>
  </si>
  <si>
    <t>COMMAND HISTORY FOR 1995</t>
    <phoneticPr fontId="1"/>
  </si>
  <si>
    <t>COMMAND HISTORY FOR 1996</t>
    <phoneticPr fontId="1"/>
  </si>
  <si>
    <t>SHIP’S ORGANIZATION AND REGULATIONS MANUAL (SORM)</t>
  </si>
  <si>
    <t>OPNAVINST 3120.32B</t>
    <phoneticPr fontId="1"/>
  </si>
  <si>
    <t>SEMI-ANNUAL CHECK LIST OF EFFECTIVE BELLEAU WOOD INSTRUCTIONS</t>
  </si>
  <si>
    <t>LHA3NOTE 5215</t>
    <phoneticPr fontId="1"/>
  </si>
  <si>
    <t>January, 1997</t>
    <phoneticPr fontId="1"/>
  </si>
  <si>
    <t>SHIP’S DECK LOG SHEEET</t>
    <phoneticPr fontId="1"/>
  </si>
  <si>
    <t>OPNAV 3100/99</t>
    <phoneticPr fontId="1"/>
  </si>
  <si>
    <t>SHIP'S DECK LOG - TITLE PAGE</t>
    <phoneticPr fontId="1"/>
  </si>
  <si>
    <t>OPNAV 3100/98</t>
    <phoneticPr fontId="1"/>
  </si>
  <si>
    <t>May, 1993</t>
    <phoneticPr fontId="1"/>
  </si>
  <si>
    <t>SHIP’S DECK LOG SHEEET</t>
  </si>
  <si>
    <t>SHIP'S DECK LOG SHEET</t>
    <phoneticPr fontId="1"/>
  </si>
  <si>
    <t>August, 1993</t>
    <phoneticPr fontId="1"/>
  </si>
  <si>
    <t>July, 1996</t>
    <phoneticPr fontId="1"/>
  </si>
  <si>
    <t>WELCOME ABOARD PAMPHLET</t>
    <phoneticPr fontId="1"/>
  </si>
  <si>
    <t>WESTPAC 89</t>
    <phoneticPr fontId="1"/>
  </si>
  <si>
    <t>NO DATE</t>
  </si>
  <si>
    <t>RECORDS OF SHIP LOCATING (March 7~, 1993)</t>
  </si>
  <si>
    <t>B5</t>
    <phoneticPr fontId="1"/>
  </si>
  <si>
    <t>RECORDS OF SHIP LOCATING (August 5~, 1993)</t>
  </si>
  <si>
    <t>RECORDS OF SHIP LOCATING (August 8~, 1996)</t>
  </si>
  <si>
    <t>SHIPS - 4. BLUE RIDGE</t>
    <phoneticPr fontId="1"/>
  </si>
  <si>
    <t>USS BLUE RIDGE (LCC - 19)</t>
    <phoneticPr fontId="1"/>
  </si>
  <si>
    <t>USS BLUE RIDGE (LCC - 19)</t>
  </si>
  <si>
    <t>NUMERICAL INDEX OF EFFECTIVE BLUE RIDGE DIRECTIVES</t>
  </si>
  <si>
    <t>BLUERIDGENOTE 5215</t>
    <phoneticPr fontId="1"/>
  </si>
  <si>
    <t>SHIP’S ORGANIZATION AND REGULATIONS MANUAL</t>
  </si>
  <si>
    <t>BLUERIDGEINST 3120.32C</t>
    <phoneticPr fontId="1"/>
  </si>
  <si>
    <t>ORGANIZATION CHART</t>
  </si>
  <si>
    <t>Legal</t>
    <phoneticPr fontId="1"/>
  </si>
  <si>
    <t>SHIPS - 5. BREMERTON</t>
    <phoneticPr fontId="1"/>
  </si>
  <si>
    <t>USS BREMERTON (SSN-698)</t>
    <phoneticPr fontId="1"/>
  </si>
  <si>
    <t>SHIPS - 6. BUNKER HILL</t>
    <phoneticPr fontId="1"/>
  </si>
  <si>
    <t>USS BUNKER HILL (CG-52)</t>
    <phoneticPr fontId="1"/>
  </si>
  <si>
    <t>REPORT OF SUPPLY MANAGEMENT ASSESSMENT OF USS BUNKER HILL (CG-52)</t>
    <phoneticPr fontId="1"/>
  </si>
  <si>
    <t>CINCPACFLTINST REPORT SYMBOL 5040-1</t>
    <phoneticPr fontId="1"/>
  </si>
  <si>
    <t>COMMANDER NAVAL SURFACE GROUP, WESTERN PACIFIC</t>
    <phoneticPr fontId="1"/>
  </si>
  <si>
    <t>DISBURSING EXAMINATION REPORT NO.PH-27-90 SYM:8503</t>
    <phoneticPr fontId="1"/>
  </si>
  <si>
    <t>FLEET ACCOUNTING AND DISBURSING</t>
    <phoneticPr fontId="1"/>
  </si>
  <si>
    <t>NOTIFICATION OF ASSIGNMENT TO PRIMARY AND COLLATERAL DUTIES, BOARDS, COUNCILS AND COMMITTEES</t>
    <phoneticPr fontId="1"/>
  </si>
  <si>
    <t>BUNKERHILLNOTE 1301</t>
    <phoneticPr fontId="1"/>
  </si>
  <si>
    <t>COMMAND PHILOSOPHY</t>
    <phoneticPr fontId="1"/>
  </si>
  <si>
    <t>WELCOME ABOARD PAMPHLET (JAPANESE)</t>
    <phoneticPr fontId="1"/>
  </si>
  <si>
    <t>SHIP’S DECK LOG SHEET</t>
  </si>
  <si>
    <t>OPNAV 3100/99</t>
  </si>
  <si>
    <t>March, 1996</t>
    <phoneticPr fontId="1"/>
  </si>
  <si>
    <t>SHIP'S DECK LOG SHEET</t>
  </si>
  <si>
    <t>RECORDS TRANSCRIBED BY UMEBAYASHI (January~, 1994)</t>
  </si>
  <si>
    <t>RECORDS TRANSCRIBED BY UMEBAYASHI (January &amp; Feburary 9~, 1996)</t>
  </si>
  <si>
    <t>Sheets</t>
    <phoneticPr fontId="1"/>
  </si>
  <si>
    <t>SHIP'S DECK LOG SHEET (MICROFICHE)</t>
    <phoneticPr fontId="1"/>
  </si>
  <si>
    <t>January, 1992</t>
    <phoneticPr fontId="1"/>
  </si>
  <si>
    <t>EACH IN 1 ENVELOP</t>
  </si>
  <si>
    <t>Feburary, 1992</t>
    <phoneticPr fontId="1"/>
  </si>
  <si>
    <t>March, 1992</t>
    <phoneticPr fontId="1"/>
  </si>
  <si>
    <t>April, 1992</t>
    <phoneticPr fontId="1"/>
  </si>
  <si>
    <t>May, 1992</t>
    <phoneticPr fontId="1"/>
  </si>
  <si>
    <t>June, 1992</t>
    <phoneticPr fontId="1"/>
  </si>
  <si>
    <t>July, 1992</t>
    <phoneticPr fontId="1"/>
  </si>
  <si>
    <t>August, 1992</t>
    <phoneticPr fontId="1"/>
  </si>
  <si>
    <t>September, 1992</t>
    <phoneticPr fontId="1"/>
  </si>
  <si>
    <t>October, 1992</t>
    <phoneticPr fontId="1"/>
  </si>
  <si>
    <t>Decembver, 1992</t>
    <phoneticPr fontId="1"/>
  </si>
  <si>
    <t>SHIPS - 7. BRIDGE</t>
    <phoneticPr fontId="1"/>
  </si>
  <si>
    <t>USS BRIDGE (AOE-10)</t>
  </si>
  <si>
    <t>USS BRIDGE (AOE-10)</t>
    <phoneticPr fontId="1"/>
  </si>
  <si>
    <t>RECORDS OF SHIP LOCATING (December 1, 2001)</t>
  </si>
  <si>
    <t>SHIPS - 8. CAMDEN</t>
    <phoneticPr fontId="1"/>
  </si>
  <si>
    <t>COMMAND HISTORY FOR 2002</t>
    <phoneticPr fontId="1"/>
  </si>
  <si>
    <t>OPNAVINST 5750.12G</t>
    <phoneticPr fontId="1"/>
  </si>
  <si>
    <t>COMMANDING OFFICER, USS CAMDEN (AOE 2)</t>
    <phoneticPr fontId="1"/>
  </si>
  <si>
    <t>COMMAND HISTORY FOR 2003</t>
    <phoneticPr fontId="1"/>
  </si>
  <si>
    <t>SHIP’S DECK LOG SHEET - TITLE PAGE</t>
    <phoneticPr fontId="1"/>
  </si>
  <si>
    <t>September, 2002</t>
    <phoneticPr fontId="1"/>
  </si>
  <si>
    <t>SHIP’S DECK LOG SHEET - TITLE PAGE</t>
  </si>
  <si>
    <t>October, 2002</t>
    <phoneticPr fontId="1"/>
  </si>
  <si>
    <t>November, 2002</t>
    <phoneticPr fontId="1"/>
  </si>
  <si>
    <t>December, 2002</t>
    <phoneticPr fontId="1"/>
  </si>
  <si>
    <t>SHIP’S DECK LOG SHEET</t>
    <phoneticPr fontId="1"/>
  </si>
  <si>
    <t>March, 2003</t>
    <phoneticPr fontId="1"/>
  </si>
  <si>
    <t>RECORDS OF SHIP LOCATING (September 7~, 2002)</t>
  </si>
  <si>
    <t>SHIPS - 9. CARL VINSON</t>
    <phoneticPr fontId="1"/>
  </si>
  <si>
    <t>1982 COMMAND HISTORY</t>
    <phoneticPr fontId="1"/>
  </si>
  <si>
    <t>OPNAVINST 5750.12C</t>
    <phoneticPr fontId="1"/>
  </si>
  <si>
    <t>COMMANDING OFFICER, USS CARL VINSON (CVN 70)</t>
    <phoneticPr fontId="1"/>
  </si>
  <si>
    <t>1983 COMMAND HISTORY</t>
    <phoneticPr fontId="1"/>
  </si>
  <si>
    <t xml:space="preserve">1984 COMMAND HISTORY </t>
    <phoneticPr fontId="1"/>
  </si>
  <si>
    <t xml:space="preserve">1985 COMMAND HISTORY </t>
    <phoneticPr fontId="1"/>
  </si>
  <si>
    <t xml:space="preserve">1986 COMMAND HISTORY </t>
    <phoneticPr fontId="1"/>
  </si>
  <si>
    <t>1987 COMMAND HISTORY</t>
    <phoneticPr fontId="1"/>
  </si>
  <si>
    <t>1988 COMMAND HISTORY</t>
    <phoneticPr fontId="1"/>
  </si>
  <si>
    <t>WELCOME YOU ABOARD!</t>
    <phoneticPr fontId="1"/>
  </si>
  <si>
    <t>USS CARL CINSON (CVN 70)</t>
    <phoneticPr fontId="1"/>
  </si>
  <si>
    <t>SHIPS - 10. CHANCELLORSVILLE</t>
    <phoneticPr fontId="1"/>
  </si>
  <si>
    <t>USS CHANCELLORSVILLE (CG 62)</t>
    <phoneticPr fontId="1"/>
  </si>
  <si>
    <t>SHIPS - 11. CORAL SEA</t>
    <phoneticPr fontId="1"/>
  </si>
  <si>
    <t>Paper Size</t>
  </si>
  <si>
    <t>COMMAND HISTORY OF USS CORAL SEA (CV-43)/ 1 JANUARY 1981-31 DECEMBER 1981</t>
    <phoneticPr fontId="1"/>
  </si>
  <si>
    <t>SHIPS - 12. COWPENS</t>
    <phoneticPr fontId="1"/>
  </si>
  <si>
    <t>RECORDS OF SHIP LOCATING (January 20~, 2003)</t>
  </si>
  <si>
    <t>SHIPS - 13. CURTIS WILBUR</t>
  </si>
  <si>
    <t>OPNAVINST 5750.12H</t>
    <phoneticPr fontId="1"/>
  </si>
  <si>
    <t>USS CURTIS WILBUR (DDG 54)</t>
  </si>
  <si>
    <t>COMMAND HISTORY FOR 2004</t>
    <phoneticPr fontId="1"/>
  </si>
  <si>
    <t>USS CURTIS WILBUR (DDG 54)</t>
    <phoneticPr fontId="1"/>
  </si>
  <si>
    <t>SHIP'S DECK LOG - TITLE PAGE</t>
  </si>
  <si>
    <t>September, 2004</t>
    <phoneticPr fontId="1"/>
  </si>
  <si>
    <t>October, 2004</t>
    <phoneticPr fontId="1"/>
  </si>
  <si>
    <t>November, 2004</t>
    <phoneticPr fontId="1"/>
  </si>
  <si>
    <t>July, 2004</t>
    <phoneticPr fontId="1"/>
  </si>
  <si>
    <t>August, 2005</t>
    <phoneticPr fontId="1"/>
  </si>
  <si>
    <t>October, 2005</t>
    <phoneticPr fontId="1"/>
  </si>
  <si>
    <t>June, 2006</t>
    <phoneticPr fontId="1"/>
  </si>
  <si>
    <t>July, 2006</t>
    <phoneticPr fontId="1"/>
  </si>
  <si>
    <t>SHIPS - 14. CURTS</t>
    <phoneticPr fontId="1"/>
  </si>
  <si>
    <t>1992 COMMAND HISTORY FOR USS CURTS (FFG 38)</t>
    <phoneticPr fontId="1"/>
  </si>
  <si>
    <t>COMMANDING OFFICER, USS CURTS (FFG 38)</t>
    <phoneticPr fontId="1"/>
  </si>
  <si>
    <t>1993 COMMAND HISTORY FOR USS CURTS (FFG 38)</t>
    <phoneticPr fontId="1"/>
  </si>
  <si>
    <t>1994 COMMAND HISTORY FOR USS CURTS (FFG 38)</t>
    <phoneticPr fontId="1"/>
  </si>
  <si>
    <t>NUMERICAL LISTING OF USS CURTIS (FFG 38) INSTRUCTIONS AND NOTICES</t>
  </si>
  <si>
    <t>SECNAVINST 5215.1C</t>
    <phoneticPr fontId="1"/>
  </si>
  <si>
    <t>STANDARD ORGANIZATIONAL AND REGULATION MANUAU (SORM)</t>
  </si>
  <si>
    <t>CURTSINST 3120.32B</t>
    <phoneticPr fontId="1"/>
  </si>
  <si>
    <t>CURTSINST 3120.32B (C2)</t>
    <phoneticPr fontId="1"/>
  </si>
  <si>
    <t>CURTSINST 3120.32A (C1)</t>
    <phoneticPr fontId="1"/>
  </si>
  <si>
    <t>FIGURES 3-1. THE EXECUTIVE'S ASSISTANTS</t>
  </si>
  <si>
    <t xml:space="preserve">OPNAVINST 3120.32C </t>
  </si>
  <si>
    <t>SHIPS - 15. CUSHING</t>
    <phoneticPr fontId="1"/>
  </si>
  <si>
    <t>USS CUSHING (DD-985)</t>
    <phoneticPr fontId="1"/>
  </si>
  <si>
    <t>Lettter</t>
    <phoneticPr fontId="1"/>
  </si>
  <si>
    <t>SHIPS - 16. DALLAS</t>
    <phoneticPr fontId="1"/>
  </si>
  <si>
    <t>USS DALLAS (SSN-700)</t>
    <phoneticPr fontId="1"/>
  </si>
  <si>
    <t>half of Letter</t>
    <phoneticPr fontId="1"/>
  </si>
  <si>
    <t>SHIPS - 17. ESSEX</t>
  </si>
  <si>
    <t>COMMAND HISTORY FOR 2000</t>
    <phoneticPr fontId="1"/>
  </si>
  <si>
    <t>USS ESSEX (LHD-2)</t>
    <phoneticPr fontId="1"/>
  </si>
  <si>
    <t>COMMAND HISTORY FOR 2001</t>
    <phoneticPr fontId="1"/>
  </si>
  <si>
    <t>COMMAND HISTORY FOR 2005</t>
    <phoneticPr fontId="1"/>
  </si>
  <si>
    <t>OPNAVINST 5750.12J</t>
    <phoneticPr fontId="1"/>
  </si>
  <si>
    <t>OPNAV 3100/98</t>
  </si>
  <si>
    <t>November, 2000</t>
    <phoneticPr fontId="1"/>
  </si>
  <si>
    <t>December, 2000</t>
    <phoneticPr fontId="1"/>
  </si>
  <si>
    <t>January, 2001</t>
    <phoneticPr fontId="1"/>
  </si>
  <si>
    <t>Feburary, 2001</t>
    <phoneticPr fontId="1"/>
  </si>
  <si>
    <t>May, 2001</t>
    <phoneticPr fontId="1"/>
  </si>
  <si>
    <t>November, 2001</t>
    <phoneticPr fontId="1"/>
  </si>
  <si>
    <t>April, 2002</t>
    <phoneticPr fontId="1"/>
  </si>
  <si>
    <t>May, 2002</t>
    <phoneticPr fontId="1"/>
  </si>
  <si>
    <t>June, 2002</t>
    <phoneticPr fontId="1"/>
  </si>
  <si>
    <t>January, 2003</t>
    <phoneticPr fontId="1"/>
  </si>
  <si>
    <t>September, 2003</t>
    <phoneticPr fontId="1"/>
  </si>
  <si>
    <t>November, 2003</t>
    <phoneticPr fontId="1"/>
  </si>
  <si>
    <t>December, 2003</t>
    <phoneticPr fontId="1"/>
  </si>
  <si>
    <t>January, 2004</t>
    <phoneticPr fontId="1"/>
  </si>
  <si>
    <t>June, 2004</t>
    <phoneticPr fontId="1"/>
  </si>
  <si>
    <t>REFERENCE REQUEST – FEDERAL RECORDS CENTERS SHEET (2000-2003)</t>
    <phoneticPr fontId="1"/>
  </si>
  <si>
    <t>RECORDS OF SHIP LOCATING (ESSEX ROUGE HISTORY July 13, 2000~September 6, 2004)</t>
  </si>
  <si>
    <t>RECORDS OF SHIP LOCATING (ESSEX NAVY YARD January 1~, 2004)</t>
  </si>
  <si>
    <t>September 27~30, 2005</t>
    <phoneticPr fontId="1"/>
  </si>
  <si>
    <t>RECORDS OF SHIP LOCATING (ESSEX WNRC November 17, 2000~2003)</t>
  </si>
  <si>
    <t>November 29~December 2, 2005</t>
    <phoneticPr fontId="1"/>
  </si>
  <si>
    <t>SHIPPING ROUTE DOCUMENTS</t>
    <phoneticPr fontId="1"/>
  </si>
  <si>
    <t>SHIPS - 18. ENTERPRISE</t>
    <phoneticPr fontId="1"/>
  </si>
  <si>
    <t>DEPLOYMENT REPORT, 26 OCTOBER 1965 to 21 JUNE 1996; FORWARDING OF (U)</t>
    <phoneticPr fontId="1"/>
  </si>
  <si>
    <t>USS ENTERPRISE (CVA-(N)64)</t>
  </si>
  <si>
    <t>DECK LOG - REMARKS SHEET</t>
    <phoneticPr fontId="1"/>
  </si>
  <si>
    <t>NAVPERS 3100/2</t>
  </si>
  <si>
    <t>DECK LOG - REMARKS SHEET</t>
  </si>
  <si>
    <t>NAVPERS 3100/2</t>
    <phoneticPr fontId="1"/>
  </si>
  <si>
    <t>SHIPS - 19. FIFE</t>
    <phoneticPr fontId="1"/>
  </si>
  <si>
    <t>COMMANDING OFFICER, USS FIFE (DD-991)</t>
    <phoneticPr fontId="1"/>
  </si>
  <si>
    <t>COMMAND HISTORY FOR 1997</t>
    <phoneticPr fontId="1"/>
  </si>
  <si>
    <t>FIGURE 2-1 SHIPBOARD ORGANIZATION</t>
    <phoneticPr fontId="1"/>
  </si>
  <si>
    <t>ANNUAL CHECK LIST OF FIFE INSTRUCTIONS</t>
  </si>
  <si>
    <t>FIFENOTE 5215.1C</t>
    <phoneticPr fontId="1"/>
  </si>
  <si>
    <t>COMMANDING OFFICER, USS FIFE (DD-991)</t>
  </si>
  <si>
    <t>B4</t>
    <phoneticPr fontId="1"/>
  </si>
  <si>
    <t>July 31~August 31, 1993</t>
    <phoneticPr fontId="1"/>
  </si>
  <si>
    <t>WELCOME ABOARD UNITED STATES SHIP FIFE (DD 991)</t>
  </si>
  <si>
    <t>210mm×280mm</t>
    <phoneticPr fontId="1"/>
  </si>
  <si>
    <t>SHIP'S DECK LOG SHEET (MICROFICHE)</t>
  </si>
  <si>
    <t>SHIPS - 20. FITZGERALD</t>
    <phoneticPr fontId="1"/>
  </si>
  <si>
    <t>USS FITZGERALD (DDG 62)</t>
  </si>
  <si>
    <t>OPNAVINST 5750.12H</t>
  </si>
  <si>
    <t>USS FITZGERALD (DDG 62)</t>
    <phoneticPr fontId="1"/>
  </si>
  <si>
    <t>SHIP’S DECK LOG - TITLE PAGE</t>
    <phoneticPr fontId="1"/>
  </si>
  <si>
    <t>June, 2005</t>
    <phoneticPr fontId="1"/>
  </si>
  <si>
    <t>July, 2005</t>
    <phoneticPr fontId="1"/>
  </si>
  <si>
    <t>RECORDS OF SHIP LOCATING (2004)</t>
  </si>
  <si>
    <t>RECORDS OF SHIP LOCATING (2005-6)</t>
  </si>
  <si>
    <t>SHIPS - 21. FLETCHER</t>
    <phoneticPr fontId="1"/>
  </si>
  <si>
    <t>UNITED STATES SHIP FLETCHER (DD-992)</t>
    <phoneticPr fontId="1"/>
  </si>
  <si>
    <t>SHIPS - 22. FRANK CABLE</t>
    <phoneticPr fontId="1"/>
  </si>
  <si>
    <t>SHIP’S DECK LOG - TITLE PAGE</t>
  </si>
  <si>
    <t>November, 2006</t>
    <phoneticPr fontId="1"/>
  </si>
  <si>
    <t>SHIPS - 23. GEORGE WASHINGTON</t>
    <phoneticPr fontId="1"/>
  </si>
  <si>
    <t>March, 2011</t>
    <phoneticPr fontId="1"/>
  </si>
  <si>
    <t>April , 2011</t>
    <phoneticPr fontId="1"/>
  </si>
  <si>
    <t>SHIPS - 24. GERMANTOWN</t>
    <phoneticPr fontId="1"/>
  </si>
  <si>
    <t>USS GERMANTOWN (LSD 42)</t>
  </si>
  <si>
    <t>USS GERMANTOWN (LSD 42)</t>
    <phoneticPr fontId="1"/>
  </si>
  <si>
    <t>OPNAVINST 5750.12D</t>
  </si>
  <si>
    <t>EFFECTIVE DIRECTIVES</t>
  </si>
  <si>
    <t>GERMANTOWNINST 3120.32</t>
    <phoneticPr fontId="1"/>
  </si>
  <si>
    <t>OPNAV 3100 / 99</t>
    <phoneticPr fontId="1"/>
  </si>
  <si>
    <t>OPNAV 3100 / 99</t>
  </si>
  <si>
    <t>Letter</t>
  </si>
  <si>
    <t>RECORDS OF SHIP LOCATING</t>
  </si>
  <si>
    <t>SHIPS - 25. GUARDIAN</t>
    <phoneticPr fontId="1"/>
  </si>
  <si>
    <t>USS GURDIAN (MCM 5)</t>
  </si>
  <si>
    <t>OPNAV 3700/99</t>
    <phoneticPr fontId="1"/>
  </si>
  <si>
    <t>SHIPS - 26. HELENA</t>
    <phoneticPr fontId="1"/>
  </si>
  <si>
    <t>USS HELENA GUARDIANS (SSN-725)</t>
    <phoneticPr fontId="1"/>
  </si>
  <si>
    <t>SHIPS - 27. HEWITT</t>
    <phoneticPr fontId="1"/>
  </si>
  <si>
    <t>USS HEWITT (DD 966)</t>
  </si>
  <si>
    <t>USS HEWITT (DD 966)</t>
    <phoneticPr fontId="1"/>
  </si>
  <si>
    <t>ORGANIZATIONAL CHART</t>
    <phoneticPr fontId="1"/>
  </si>
  <si>
    <t>USS HEWITT NUMERICAL LITING OF EFFECTIVE INSTRUCTIONS AND NOTICES</t>
  </si>
  <si>
    <t>SHIPS - 28. INDEPENDENCE</t>
    <phoneticPr fontId="1"/>
  </si>
  <si>
    <t>USS INDEPENDENCE CV-62</t>
    <phoneticPr fontId="1"/>
  </si>
  <si>
    <t>INDEX OF EFFECTIVE USS INDEPENDENCE INSTRUCTIONS</t>
  </si>
  <si>
    <t>CV62NOTE 5215</t>
    <phoneticPr fontId="1"/>
  </si>
  <si>
    <t xml:space="preserve">SHIP’S ORGANIZATION AND REGULATION MANUAL </t>
  </si>
  <si>
    <t>CV62INST 3120.1A</t>
    <phoneticPr fontId="1"/>
  </si>
  <si>
    <t>WELCOME ABOARD (INDIFFERENT SHAPES)</t>
    <phoneticPr fontId="1"/>
  </si>
  <si>
    <t>A4</t>
    <phoneticPr fontId="1"/>
  </si>
  <si>
    <t>THE NAVY'S NEWEST CARRIER FIGHTER MAY LOOK FAMILIAR, BUT…</t>
    <phoneticPr fontId="1"/>
  </si>
  <si>
    <r>
      <t>INDEPENDENCE</t>
    </r>
    <r>
      <rPr>
        <sz val="9"/>
        <color theme="1"/>
        <rFont val="游ゴシック"/>
        <family val="2"/>
        <charset val="128"/>
      </rPr>
      <t>航跡の分析、記者会見資料と補助文書</t>
    </r>
    <rPh sb="12" eb="14">
      <t>コウセキ</t>
    </rPh>
    <rPh sb="15" eb="17">
      <t>ブンセキ</t>
    </rPh>
    <rPh sb="18" eb="22">
      <t>キシャカイケン</t>
    </rPh>
    <rPh sb="22" eb="24">
      <t>シリョウ</t>
    </rPh>
    <rPh sb="25" eb="29">
      <t>ホジョブンショ</t>
    </rPh>
    <phoneticPr fontId="1"/>
  </si>
  <si>
    <t>RECORDS OF SHIP LOCATING (1988)</t>
  </si>
  <si>
    <t>RECORDS OF SHIP LOCATING (1994)</t>
  </si>
  <si>
    <t>RECORDS OF SHIP LOCATING (1996)</t>
  </si>
  <si>
    <t>USS INDEPENDENCE CV-62 "FREEDOM'S FLAGSHIP" WESTPAC 1990 "OPERATION DESERT SHIELD"</t>
    <phoneticPr fontId="1"/>
  </si>
  <si>
    <t>USS INDEPENDENCE CV-62 (1982)</t>
    <phoneticPr fontId="1"/>
  </si>
  <si>
    <t>NEW U.S. NUCLEAR AIRCRAFT CARRIER COMES TO JAPAN REPORT DESCRIBES USS INDEPENDENCE'S 20-YEAR NUCLEAR HISTORY</t>
    <phoneticPr fontId="1"/>
  </si>
  <si>
    <t>INDIAN OCEAN DEPLOYMENT (U) 19 NOV 80 - 10 JUN 81</t>
    <phoneticPr fontId="1"/>
  </si>
  <si>
    <t>COLLECTION BY JOSHUA HANDLER</t>
    <phoneticPr fontId="1"/>
  </si>
  <si>
    <t>January, 1988</t>
    <phoneticPr fontId="1"/>
  </si>
  <si>
    <t>Feburary, 1988</t>
    <phoneticPr fontId="1"/>
  </si>
  <si>
    <t>March, 1988</t>
    <phoneticPr fontId="1"/>
  </si>
  <si>
    <t>April, 1988</t>
    <phoneticPr fontId="1"/>
  </si>
  <si>
    <t>May, 1988</t>
    <phoneticPr fontId="1"/>
  </si>
  <si>
    <t>June, 1988</t>
    <phoneticPr fontId="1"/>
  </si>
  <si>
    <t>July, 1988</t>
    <phoneticPr fontId="1"/>
  </si>
  <si>
    <t>August, 1988</t>
    <phoneticPr fontId="1"/>
  </si>
  <si>
    <t>January, 1994</t>
    <phoneticPr fontId="1"/>
  </si>
  <si>
    <t>SHIP’S DECK LOG SHEET (MICROFICHE)</t>
    <phoneticPr fontId="1"/>
  </si>
  <si>
    <t>January, 1988</t>
  </si>
  <si>
    <t>Feburary, 1988</t>
  </si>
  <si>
    <t>March, 1988</t>
  </si>
  <si>
    <t>April, 1988</t>
  </si>
  <si>
    <t>May, 1988</t>
  </si>
  <si>
    <t>June, 1988</t>
  </si>
  <si>
    <t>July, 1988</t>
  </si>
  <si>
    <t>August, 1988</t>
  </si>
  <si>
    <t>September, 1988</t>
  </si>
  <si>
    <t>October, 1988</t>
  </si>
  <si>
    <t>November, 1988</t>
  </si>
  <si>
    <t>December, 1988</t>
  </si>
  <si>
    <t>January, 1989</t>
  </si>
  <si>
    <t>Feburary, 1989</t>
  </si>
  <si>
    <t>March, 1989</t>
  </si>
  <si>
    <t>April, 1989</t>
  </si>
  <si>
    <t>May, 1989</t>
  </si>
  <si>
    <t>December, 1992</t>
    <phoneticPr fontId="1"/>
  </si>
  <si>
    <t>January, 1993</t>
    <phoneticPr fontId="1"/>
  </si>
  <si>
    <t>SHIPS - 29. INGERSOLL</t>
    <phoneticPr fontId="1"/>
  </si>
  <si>
    <t>USS INGERSOLL (DD-990)</t>
    <phoneticPr fontId="1"/>
  </si>
  <si>
    <t>?</t>
    <phoneticPr fontId="1"/>
  </si>
  <si>
    <t>SHIPS - 31. JOHN ERICSSON</t>
    <phoneticPr fontId="1"/>
  </si>
  <si>
    <t>DAILY LOG REMARKS SHEET (Feburary, 2003)</t>
    <phoneticPr fontId="1"/>
  </si>
  <si>
    <t>USNS ERICSSON (T-AO-194)</t>
  </si>
  <si>
    <t>DAILY LOG REMARKS SHEET (March, 2003)</t>
    <phoneticPr fontId="1"/>
  </si>
  <si>
    <t>SHIPS - 32. JOHN S. MCCAIN</t>
    <phoneticPr fontId="1"/>
  </si>
  <si>
    <t>COMMAND HISTORY REPORT FOR CY 2002</t>
    <phoneticPr fontId="1"/>
  </si>
  <si>
    <t>USS JOHN S. MACCAIN (DDG 56)</t>
  </si>
  <si>
    <t>LIST OF OFFICERS</t>
    <phoneticPr fontId="1"/>
  </si>
  <si>
    <t>LIST OF CHIEF PETTY OFFICERS</t>
    <phoneticPr fontId="1"/>
  </si>
  <si>
    <t>RECORDS OF SHIP LOCATING (2006)</t>
  </si>
  <si>
    <t>SHIPS - 33. JOHN YOUNG</t>
    <phoneticPr fontId="1"/>
  </si>
  <si>
    <t>USS JOHN YOUNG (DD-973)</t>
    <phoneticPr fontId="1"/>
  </si>
  <si>
    <t>SHIPS - 34. KINKAID</t>
  </si>
  <si>
    <t>SHIPBOARD LIVING GUIDE</t>
    <phoneticPr fontId="1"/>
  </si>
  <si>
    <t>USS KINKAID (DD-965)</t>
    <phoneticPr fontId="1"/>
  </si>
  <si>
    <t>SHIPS - 35. KITTY HAWK</t>
  </si>
  <si>
    <t>USS KITTY HAWK (CV-63) COMMAND HISTORY; FORWARDING OF 1979</t>
    <phoneticPr fontId="1"/>
  </si>
  <si>
    <t>OPNAVINST 5750.12 (series)</t>
    <phoneticPr fontId="1"/>
  </si>
  <si>
    <t>USS KITTY HAWK (CV-63)</t>
  </si>
  <si>
    <t>1979-1980 WESTERN PACIFIC-INDIAN OCEAN DEPLOYMENT REPORT</t>
    <phoneticPr fontId="1"/>
  </si>
  <si>
    <t>COMMAND HISTORY FOR CALENDAR YEAR 2000</t>
    <phoneticPr fontId="1"/>
  </si>
  <si>
    <t>OPNAVINST 5750.12G</t>
  </si>
  <si>
    <t>USS KITTY HAWK (CV 63) COMMAND HISTORY FOR CALENDAR YEAR 2001</t>
    <phoneticPr fontId="1"/>
  </si>
  <si>
    <t>USS KITTY HAWK (CV 63) COMMAND HISTORY FOR CALENDAR YEAR 2003</t>
  </si>
  <si>
    <t>USS KITTY HAWK (CV 63) COMMAND HISTORY FOR CALENDAR YEAR 2004</t>
    <phoneticPr fontId="1"/>
  </si>
  <si>
    <t>USS KITTY HAWK (CV-63)</t>
    <phoneticPr fontId="1"/>
  </si>
  <si>
    <t>1992 COMNAVAIRPAC CV/CVN USS KITTY HAWK (CV 63) BATTLE EFFICIENCY AWARD</t>
    <phoneticPr fontId="1"/>
  </si>
  <si>
    <t>NUCLEAR WEAPON TECHNICAL INSPECTIONS</t>
    <phoneticPr fontId="1"/>
  </si>
  <si>
    <t>OFFICE OF THE CHIEF OF NAVAL OPERATIONS</t>
    <phoneticPr fontId="1"/>
  </si>
  <si>
    <t>DEFENSE NUCLEAR SURETY INSPECTION REPORT</t>
    <phoneticPr fontId="1"/>
  </si>
  <si>
    <t>DEFENSE NUCLEAR AGENCY</t>
    <phoneticPr fontId="1"/>
  </si>
  <si>
    <t>U.S.S. KITTY HAWK (CV-63)</t>
  </si>
  <si>
    <t>October, 2001</t>
    <phoneticPr fontId="1"/>
  </si>
  <si>
    <t>Feburary, 2003</t>
    <phoneticPr fontId="1"/>
  </si>
  <si>
    <t>U.S.S. KITTY HAWK (CV-63)</t>
    <phoneticPr fontId="1"/>
  </si>
  <si>
    <t>SHIPS - 37. LAKE CHAMPLAIN</t>
    <phoneticPr fontId="1"/>
  </si>
  <si>
    <t>USS LAKE CHAMPLAIN (CG-57)</t>
    <phoneticPr fontId="1"/>
  </si>
  <si>
    <t>SHIPS - 38. LAKE ERIE</t>
    <phoneticPr fontId="1"/>
  </si>
  <si>
    <t>SHIPS - 39. LASSEN</t>
    <phoneticPr fontId="1"/>
  </si>
  <si>
    <t>SHIPS - 40. LONG BEACH</t>
    <phoneticPr fontId="1"/>
  </si>
  <si>
    <t>USS LONG BEACH (CGN-9)</t>
    <phoneticPr fontId="1"/>
  </si>
  <si>
    <t>SHIPS - 41. McCLUSKY</t>
    <phoneticPr fontId="1"/>
  </si>
  <si>
    <t>USS MCCLUSKY EFFECTIVE INSTRUCTIONS</t>
    <phoneticPr fontId="1"/>
  </si>
  <si>
    <t>MCCLUSKYNOTE 5215.1C</t>
    <phoneticPr fontId="1"/>
  </si>
  <si>
    <t>USS MCCLUSKY (FFG 41)</t>
  </si>
  <si>
    <t>October, 1995</t>
    <phoneticPr fontId="1"/>
  </si>
  <si>
    <t>SHIPS - 42. MERRILL</t>
    <phoneticPr fontId="1"/>
  </si>
  <si>
    <t>USS MERRILL (DD-976)</t>
    <phoneticPr fontId="1"/>
  </si>
  <si>
    <t>SHIPS - 43. MIDWAY</t>
    <phoneticPr fontId="1"/>
  </si>
  <si>
    <t>COMMAND HISTORY FOR 1970</t>
    <phoneticPr fontId="1"/>
  </si>
  <si>
    <t>COMMAND HISTORY FOR 1973</t>
    <phoneticPr fontId="1"/>
  </si>
  <si>
    <t>COMMAND HISTORY FOR 1974</t>
    <phoneticPr fontId="1"/>
  </si>
  <si>
    <t>OPNAVINST 5750.12B</t>
    <phoneticPr fontId="1"/>
  </si>
  <si>
    <t>USS MIDWAY (CVA 41)</t>
    <phoneticPr fontId="1"/>
  </si>
  <si>
    <t>COMMAND HISTORY FOR 1975</t>
    <phoneticPr fontId="1"/>
  </si>
  <si>
    <t>OPNAVINST 5750.13</t>
    <phoneticPr fontId="1"/>
  </si>
  <si>
    <t>COMMAND HISTORY FOR 1976</t>
    <phoneticPr fontId="1"/>
  </si>
  <si>
    <t>COMMAND HISTORY FOR 1978</t>
    <phoneticPr fontId="1"/>
  </si>
  <si>
    <t>COMMAND HISTORY FOR 1984</t>
    <phoneticPr fontId="1"/>
  </si>
  <si>
    <t>COMMAND HISTORY FOR 1985</t>
    <phoneticPr fontId="1"/>
  </si>
  <si>
    <t>VAW-115 COMMAND HISTORY FOR CY 1991</t>
  </si>
  <si>
    <t>VFA-195 COMMAND HISTORY FOR 1991</t>
  </si>
  <si>
    <t>REPORT OF USS MIDWAY (CV-41) EXTENDED INCREMENTAL SELECTED REPAIR AVAILABILITY (EISRA-86)</t>
    <phoneticPr fontId="1"/>
  </si>
  <si>
    <t>DECOMMISSIONING OF THE USS MIDWAY (CV 41)</t>
  </si>
  <si>
    <t>SEQUENCE OF EVENTS DURING MIDWAY FIRE</t>
  </si>
  <si>
    <t>PRIMARY AND COLLATERAL DUTIES</t>
  </si>
  <si>
    <t>MIDWAYNOTE 1301</t>
    <phoneticPr fontId="1"/>
  </si>
  <si>
    <t>NOTIFICATION OF ASSIGNMENT TO PRIMARY AND COLLATERAL DUTIES</t>
  </si>
  <si>
    <t>USS MIDWAY (CV 41)</t>
    <phoneticPr fontId="1"/>
  </si>
  <si>
    <t>SHIP MANPOWER DOCUMENT</t>
  </si>
  <si>
    <t>OPNAVINST 5320.62C</t>
    <phoneticPr fontId="1"/>
  </si>
  <si>
    <t>COMMANDING OFFICERS OF USS MIDWAY</t>
  </si>
  <si>
    <t>SHIP'S DECK LOG SHEET - TITLE PAGE</t>
    <phoneticPr fontId="1"/>
  </si>
  <si>
    <t>September, 1973</t>
    <phoneticPr fontId="1"/>
  </si>
  <si>
    <t>October, 1973</t>
    <phoneticPr fontId="1"/>
  </si>
  <si>
    <t>SHIP'S DECK LOG SHEET - TITLE PAGE</t>
  </si>
  <si>
    <t>November, 1973</t>
    <phoneticPr fontId="1"/>
  </si>
  <si>
    <t>December, 1973</t>
    <phoneticPr fontId="1"/>
  </si>
  <si>
    <t>Legal</t>
  </si>
  <si>
    <t>July, 1976</t>
    <phoneticPr fontId="1"/>
  </si>
  <si>
    <t>SHIP'S DECK LOG SHEET (NUCLEAR INCIDENTS?)</t>
    <phoneticPr fontId="1"/>
  </si>
  <si>
    <t>SHIP'S DECK LOG - TITLE PAGE (COPIED FROM MICROFICHE)</t>
    <phoneticPr fontId="1"/>
  </si>
  <si>
    <t>January, 1984</t>
    <phoneticPr fontId="1"/>
  </si>
  <si>
    <t>SHIP'S DECK LOG SHEET (COPIED FROM MICROFICHE)</t>
    <phoneticPr fontId="1"/>
  </si>
  <si>
    <t>SHIP'S DECK LOG - TITLE PAGE (COPIED FROM MICROFICHE)</t>
  </si>
  <si>
    <t>February, 1984</t>
    <phoneticPr fontId="1"/>
  </si>
  <si>
    <t>SHIP'S DECK LOG SHEET (COPIED FROM MICROFICHE)</t>
  </si>
  <si>
    <t>March, 1984</t>
    <phoneticPr fontId="1"/>
  </si>
  <si>
    <t>April, 1984</t>
    <phoneticPr fontId="1"/>
  </si>
  <si>
    <t>May, 1984</t>
    <phoneticPr fontId="1"/>
  </si>
  <si>
    <t>June, 1984</t>
    <phoneticPr fontId="1"/>
  </si>
  <si>
    <t>July, 1984</t>
    <phoneticPr fontId="1"/>
  </si>
  <si>
    <t>August, 1984</t>
    <phoneticPr fontId="1"/>
  </si>
  <si>
    <t>September, 1984</t>
    <phoneticPr fontId="1"/>
  </si>
  <si>
    <t>October, 1984</t>
    <phoneticPr fontId="1"/>
  </si>
  <si>
    <t>November, 1984</t>
    <phoneticPr fontId="1"/>
  </si>
  <si>
    <t>December, 1984</t>
    <phoneticPr fontId="1"/>
  </si>
  <si>
    <t>January, 1985</t>
    <phoneticPr fontId="1"/>
  </si>
  <si>
    <t>February, 1985</t>
    <phoneticPr fontId="1"/>
  </si>
  <si>
    <t>March, 1985</t>
    <phoneticPr fontId="1"/>
  </si>
  <si>
    <t>April, 1985</t>
    <phoneticPr fontId="1"/>
  </si>
  <si>
    <t>May, 1985</t>
    <phoneticPr fontId="1"/>
  </si>
  <si>
    <t>June, 1985</t>
    <phoneticPr fontId="1"/>
  </si>
  <si>
    <t xml:space="preserve">July, 1985 </t>
    <phoneticPr fontId="1"/>
  </si>
  <si>
    <t>August, 1985</t>
    <phoneticPr fontId="1"/>
  </si>
  <si>
    <t>September, 1985</t>
    <phoneticPr fontId="1"/>
  </si>
  <si>
    <t>October, 1985</t>
    <phoneticPr fontId="1"/>
  </si>
  <si>
    <t>November, 1985</t>
    <phoneticPr fontId="1"/>
  </si>
  <si>
    <t>December, 1985</t>
    <phoneticPr fontId="1"/>
  </si>
  <si>
    <t>January, 1986</t>
    <phoneticPr fontId="1"/>
  </si>
  <si>
    <t>February, 1986</t>
    <phoneticPr fontId="1"/>
  </si>
  <si>
    <t>March, 1986</t>
    <phoneticPr fontId="1"/>
  </si>
  <si>
    <t>April, 1986</t>
    <phoneticPr fontId="1"/>
  </si>
  <si>
    <t>May, 1986</t>
    <phoneticPr fontId="1"/>
  </si>
  <si>
    <t>June, 1986</t>
    <phoneticPr fontId="1"/>
  </si>
  <si>
    <t>July, 1986</t>
    <phoneticPr fontId="1"/>
  </si>
  <si>
    <t>August, 1986</t>
    <phoneticPr fontId="1"/>
  </si>
  <si>
    <t>September, 1986</t>
    <phoneticPr fontId="1"/>
  </si>
  <si>
    <t>October, 1986</t>
    <phoneticPr fontId="1"/>
  </si>
  <si>
    <t>November, 1986</t>
    <phoneticPr fontId="1"/>
  </si>
  <si>
    <t>December, 1986</t>
    <phoneticPr fontId="1"/>
  </si>
  <si>
    <t>August, 1990</t>
    <phoneticPr fontId="1"/>
  </si>
  <si>
    <t>September, 1990</t>
    <phoneticPr fontId="1"/>
  </si>
  <si>
    <t>October, 1990</t>
    <phoneticPr fontId="1"/>
  </si>
  <si>
    <t>November, 1990</t>
    <phoneticPr fontId="1"/>
  </si>
  <si>
    <t>December, 1990</t>
    <phoneticPr fontId="1"/>
  </si>
  <si>
    <t>UNITED STATES SHIP MIDWAY CV-41 “THE MAGIC TOUCH”- W.DIVISION (1985-87)</t>
    <phoneticPr fontId="1"/>
  </si>
  <si>
    <t>USS MIDWAY CV-41 MAGIC MOMENTS (1987-88)</t>
  </si>
  <si>
    <t>USS MIDWAY CV-41 DESERT MAGIC (1990-1991)</t>
  </si>
  <si>
    <t>MIDWAY ACCIDENT CABLES</t>
    <phoneticPr fontId="1"/>
  </si>
  <si>
    <t>FLAGSHIP FLYER</t>
  </si>
  <si>
    <t>BLUEWATER BULLETIN</t>
  </si>
  <si>
    <t>STRIKE FIGHTER SQUADRON 192 (WORLD FAMOUS GOLDEN DRAGONS)</t>
    <phoneticPr fontId="1"/>
  </si>
  <si>
    <r>
      <rPr>
        <sz val="9"/>
        <color theme="1"/>
        <rFont val="游ゴシック"/>
        <family val="2"/>
        <charset val="128"/>
      </rPr>
      <t>空母ミッドウェーの寄港先チャート</t>
    </r>
  </si>
  <si>
    <t>A3</t>
    <phoneticPr fontId="1"/>
  </si>
  <si>
    <r>
      <rPr>
        <sz val="9"/>
        <color theme="1"/>
        <rFont val="游ゴシック"/>
        <family val="2"/>
        <charset val="128"/>
      </rPr>
      <t>空母ミッドウェー航跡</t>
    </r>
    <r>
      <rPr>
        <sz val="9"/>
        <color theme="1"/>
        <rFont val="Arial"/>
        <family val="2"/>
      </rPr>
      <t>1973</t>
    </r>
  </si>
  <si>
    <r>
      <rPr>
        <sz val="9"/>
        <color theme="1"/>
        <rFont val="游ゴシック"/>
        <family val="2"/>
        <charset val="128"/>
      </rPr>
      <t>空母ミッドウェー航跡</t>
    </r>
    <r>
      <rPr>
        <sz val="9"/>
        <color theme="1"/>
        <rFont val="Arial"/>
        <family val="2"/>
      </rPr>
      <t>1974</t>
    </r>
  </si>
  <si>
    <r>
      <rPr>
        <sz val="9"/>
        <color theme="1"/>
        <rFont val="游ゴシック"/>
        <family val="2"/>
        <charset val="128"/>
      </rPr>
      <t>空母ミッドウェー航跡</t>
    </r>
    <r>
      <rPr>
        <sz val="9"/>
        <color theme="1"/>
        <rFont val="Arial"/>
        <family val="2"/>
      </rPr>
      <t>1975</t>
    </r>
    <phoneticPr fontId="1"/>
  </si>
  <si>
    <r>
      <rPr>
        <sz val="9"/>
        <color theme="1"/>
        <rFont val="游ゴシック"/>
        <family val="2"/>
        <charset val="128"/>
      </rPr>
      <t>空母ミッドウェー航海記録</t>
    </r>
    <r>
      <rPr>
        <sz val="9"/>
        <color theme="1"/>
        <rFont val="Arial"/>
        <family val="2"/>
      </rPr>
      <t xml:space="preserve"> 1978</t>
    </r>
  </si>
  <si>
    <r>
      <t xml:space="preserve">MIDWAY </t>
    </r>
    <r>
      <rPr>
        <sz val="9"/>
        <color theme="1"/>
        <rFont val="游ゴシック"/>
        <family val="2"/>
        <charset val="128"/>
      </rPr>
      <t>航跡図</t>
    </r>
    <r>
      <rPr>
        <sz val="9"/>
        <color theme="1"/>
        <rFont val="Arial"/>
        <family val="2"/>
      </rPr>
      <t xml:space="preserve"> (1973~1977)</t>
    </r>
    <phoneticPr fontId="1"/>
  </si>
  <si>
    <t>A4&amp;A3</t>
    <phoneticPr fontId="1"/>
  </si>
  <si>
    <t>WELCOME ABOARD PAMPHLET - CAMPTAIN ARTHUR K.CEBROWSKI</t>
    <phoneticPr fontId="1"/>
  </si>
  <si>
    <t>A5</t>
    <phoneticPr fontId="1"/>
  </si>
  <si>
    <t>RECORDS OF SHIP LOCATING (1976~1977)</t>
  </si>
  <si>
    <t>RECORDS OF SHIP LOCATING (1979)</t>
  </si>
  <si>
    <t>RECORDS OF SHIP LOCATING (1990)</t>
  </si>
  <si>
    <r>
      <rPr>
        <sz val="9"/>
        <color theme="1"/>
        <rFont val="游ゴシック"/>
        <family val="2"/>
        <charset val="128"/>
      </rPr>
      <t>航海日誌Ⅰ</t>
    </r>
    <r>
      <rPr>
        <sz val="9"/>
        <color theme="1"/>
        <rFont val="Arial"/>
        <family val="2"/>
      </rPr>
      <t>(1984.2.1~1985.8.26)</t>
    </r>
    <phoneticPr fontId="1"/>
  </si>
  <si>
    <r>
      <rPr>
        <sz val="9"/>
        <color theme="1"/>
        <rFont val="游ゴシック"/>
        <family val="2"/>
        <charset val="128"/>
      </rPr>
      <t>航海日誌Ⅱ　</t>
    </r>
    <r>
      <rPr>
        <sz val="9"/>
        <color theme="1"/>
        <rFont val="Arial"/>
        <family val="2"/>
      </rPr>
      <t>(1985.9.1~1986.10.25)</t>
    </r>
    <phoneticPr fontId="1"/>
  </si>
  <si>
    <r>
      <t>MICROFICHE</t>
    </r>
    <r>
      <rPr>
        <sz val="9"/>
        <color theme="1"/>
        <rFont val="游ゴシック"/>
        <family val="2"/>
        <charset val="128"/>
      </rPr>
      <t>から読み取ったデータ</t>
    </r>
    <rPh sb="12" eb="13">
      <t>ヨ</t>
    </rPh>
    <rPh sb="14" eb="15">
      <t>ト</t>
    </rPh>
    <phoneticPr fontId="1"/>
  </si>
  <si>
    <t>January, 1984</t>
  </si>
  <si>
    <t>EACH IN 2 ENVELOP</t>
  </si>
  <si>
    <t>Feburary, 1984</t>
  </si>
  <si>
    <t>March, 1984</t>
  </si>
  <si>
    <t>April, 1984</t>
  </si>
  <si>
    <t>May, 1984</t>
  </si>
  <si>
    <t>June, 1984</t>
  </si>
  <si>
    <t>July, 1984</t>
  </si>
  <si>
    <t>August, 1984</t>
  </si>
  <si>
    <t>September, 1984</t>
  </si>
  <si>
    <t>October, 1984</t>
  </si>
  <si>
    <t>November, 1984</t>
  </si>
  <si>
    <t>December, 1984</t>
  </si>
  <si>
    <t>January, 1985</t>
  </si>
  <si>
    <t>Feburary, 1985</t>
  </si>
  <si>
    <t>March, 1985</t>
  </si>
  <si>
    <t>April, 1985</t>
  </si>
  <si>
    <t>May, 1985</t>
  </si>
  <si>
    <t>June, 1985</t>
  </si>
  <si>
    <t>July, 1985</t>
  </si>
  <si>
    <t>August, 1985</t>
  </si>
  <si>
    <t>September, 1985</t>
  </si>
  <si>
    <t>October, 1985</t>
  </si>
  <si>
    <t>November, 1985</t>
  </si>
  <si>
    <t>December, 1985</t>
  </si>
  <si>
    <t>January, 1986</t>
  </si>
  <si>
    <t>Feburary, 1986</t>
  </si>
  <si>
    <t>March, 1986</t>
  </si>
  <si>
    <t>April, 1986</t>
  </si>
  <si>
    <t>May, 1986</t>
  </si>
  <si>
    <t>June, 1986</t>
  </si>
  <si>
    <t>July, 1986</t>
  </si>
  <si>
    <t>August, 1986</t>
  </si>
  <si>
    <t>September, 1986</t>
  </si>
  <si>
    <t>October, 1986</t>
  </si>
  <si>
    <t>November, 1986</t>
  </si>
  <si>
    <t>December, 1986</t>
  </si>
  <si>
    <t>January, 1987</t>
  </si>
  <si>
    <t>Feburary, 1987</t>
  </si>
  <si>
    <t>March, 1987</t>
  </si>
  <si>
    <t>April, 1987</t>
  </si>
  <si>
    <t>May, 1987</t>
  </si>
  <si>
    <t>June, 1987</t>
  </si>
  <si>
    <t>July, 1987</t>
  </si>
  <si>
    <t>August, 1987</t>
  </si>
  <si>
    <t>September, 1987</t>
  </si>
  <si>
    <t>October, 1987</t>
  </si>
  <si>
    <t>November, 1987</t>
  </si>
  <si>
    <t>December, 1987</t>
  </si>
  <si>
    <t>SHIPS - 44. MOBILE BAY</t>
    <phoneticPr fontId="1"/>
  </si>
  <si>
    <t>WELCOME ABOARD!</t>
    <phoneticPr fontId="1"/>
  </si>
  <si>
    <t>USS MISSOURI (BB-63)</t>
    <phoneticPr fontId="1"/>
  </si>
  <si>
    <t>USS MISSOURI (BB-63)</t>
  </si>
  <si>
    <t>SHIPS - 45. MOBILE BAY</t>
    <phoneticPr fontId="1"/>
  </si>
  <si>
    <t>USS MOBILE BAY (CG 53)</t>
    <phoneticPr fontId="1"/>
  </si>
  <si>
    <t>COMMAND HISTORY FOR 1991-1994</t>
    <phoneticPr fontId="1"/>
  </si>
  <si>
    <t>GOALS AND OBJECTIVES FOR 1995</t>
    <phoneticPr fontId="1"/>
  </si>
  <si>
    <t>OPNAVINST 5750.12F</t>
    <phoneticPr fontId="1"/>
  </si>
  <si>
    <t xml:space="preserve">WELCOME ABOARD PAMPHLET BY F.R.WHALEN </t>
    <phoneticPr fontId="1"/>
  </si>
  <si>
    <t>WELCOME ABROAD PAMPHLET BY DAVIDS.BILL,III</t>
    <phoneticPr fontId="1"/>
  </si>
  <si>
    <t>SHIPS - 47. NIMITZ</t>
    <phoneticPr fontId="1"/>
  </si>
  <si>
    <t>USS NIMITZ (CVN 68)</t>
  </si>
  <si>
    <t>COMMAND HISTORY FOR 1982</t>
    <phoneticPr fontId="1"/>
  </si>
  <si>
    <t>USS NIMITZ (CVN 68)</t>
    <phoneticPr fontId="1"/>
  </si>
  <si>
    <t>COMMAND HISTORY FOR 1986</t>
    <phoneticPr fontId="1"/>
  </si>
  <si>
    <t>COMMAND HISTORY FOR 1987</t>
    <phoneticPr fontId="1"/>
  </si>
  <si>
    <t>SHIPS - 47. O'BRIEN</t>
    <phoneticPr fontId="1"/>
  </si>
  <si>
    <t>USS O’ BRIEN (DD 975)</t>
    <phoneticPr fontId="1"/>
  </si>
  <si>
    <t>USS O’ BRIEN (DD 976)</t>
  </si>
  <si>
    <t>ORGANIZATIONAL ASSIGNMENTS</t>
  </si>
  <si>
    <t>O'BRIENNOTE 1301</t>
    <phoneticPr fontId="1"/>
  </si>
  <si>
    <t>USS O’ BRIEN (DD 977)</t>
  </si>
  <si>
    <t>O’ BRIEN INSTRUCTION AND NOTICES</t>
  </si>
  <si>
    <t>O'BRIENNOTE 5215</t>
    <phoneticPr fontId="1"/>
  </si>
  <si>
    <t>USS O’ BRIEN (DD 978)</t>
  </si>
  <si>
    <t>SHIP’S ORGANIZATION AND REGULATIONS</t>
  </si>
  <si>
    <t>O'BRIENINST 3120.32</t>
    <phoneticPr fontId="1"/>
  </si>
  <si>
    <t>USS O’ BRIEN (DD 979)</t>
  </si>
  <si>
    <t>CHANGE OF COMMAND CEREMONY PAMPHLET</t>
    <phoneticPr fontId="1"/>
  </si>
  <si>
    <t>USS O’ BRIEN (DD 980)</t>
  </si>
  <si>
    <t>USS O’ BRIEN (DD 981)</t>
  </si>
  <si>
    <t>SHIPS - 48. OBSERVATION ISLAND</t>
    <phoneticPr fontId="1"/>
  </si>
  <si>
    <t>USS OBSERVATION ISLAND (T-AGM 23)</t>
  </si>
  <si>
    <t>SHIPS - 49. OHIO</t>
    <phoneticPr fontId="1"/>
  </si>
  <si>
    <t>USS OHIO (SSBN-726)</t>
    <phoneticPr fontId="1"/>
  </si>
  <si>
    <t>SHIPS - 50. OLDENDORF</t>
    <phoneticPr fontId="1"/>
  </si>
  <si>
    <t>USS OLDENDORF (DD-972)</t>
    <phoneticPr fontId="1"/>
  </si>
  <si>
    <t>SHIPS - 51. PATRIOT</t>
    <phoneticPr fontId="1"/>
  </si>
  <si>
    <t>USS PATRIOT (MCM 7)</t>
  </si>
  <si>
    <t>USS PATRIOT (MCM 7)</t>
    <phoneticPr fontId="1"/>
  </si>
  <si>
    <t>SHIPS - 52.  PAUL HAMILTON</t>
    <phoneticPr fontId="1"/>
  </si>
  <si>
    <t>USS PAUL HAMILTON (DDG 60)</t>
    <phoneticPr fontId="1"/>
  </si>
  <si>
    <t>April, 2003</t>
    <phoneticPr fontId="1"/>
  </si>
  <si>
    <t>SHIPS - 53. PECOS</t>
    <phoneticPr fontId="1"/>
  </si>
  <si>
    <t>SHIPS - 54. PHOENIX</t>
    <phoneticPr fontId="1"/>
  </si>
  <si>
    <t>WELCOME ABROAD</t>
    <phoneticPr fontId="1"/>
  </si>
  <si>
    <t>USS PHOENIX (SSN 702)</t>
    <phoneticPr fontId="1"/>
  </si>
  <si>
    <t>SHIPS - 55. POGY</t>
    <phoneticPr fontId="1"/>
  </si>
  <si>
    <t>UNITED STATES SHIP POGY (SSN 647)</t>
    <phoneticPr fontId="1"/>
  </si>
  <si>
    <t>SHIPS - 56. PRINCETON</t>
    <phoneticPr fontId="1"/>
  </si>
  <si>
    <t>USS PRINCETON (CG 59)</t>
  </si>
  <si>
    <t>USS PRINCETON (CG 59)</t>
    <phoneticPr fontId="1"/>
  </si>
  <si>
    <t>WELCOME ABOAD</t>
    <phoneticPr fontId="1"/>
  </si>
  <si>
    <t>SHIPS - 57. RANGER</t>
  </si>
  <si>
    <t>"TOP GUN BAR NONE"</t>
    <phoneticPr fontId="1"/>
  </si>
  <si>
    <t>USS RANGER (CV-61)</t>
    <phoneticPr fontId="1"/>
  </si>
  <si>
    <t>SHIPS - 58. RAINIER</t>
    <phoneticPr fontId="1"/>
  </si>
  <si>
    <t>SHIPS - 59. REUBEN JAMES</t>
    <phoneticPr fontId="1"/>
  </si>
  <si>
    <t>OPNAVINST 5750.12</t>
    <phoneticPr fontId="1"/>
  </si>
  <si>
    <t>USS REUBEN JAMES (FFG 57)</t>
  </si>
  <si>
    <t>USS REUBEN JAMES (FFG 57)</t>
    <phoneticPr fontId="1"/>
  </si>
  <si>
    <t>SHIPS - 60. RODNEY M. DAVIS</t>
    <phoneticPr fontId="1"/>
  </si>
  <si>
    <t>RODNEY M. DAVISNOTE 5215</t>
    <phoneticPr fontId="1"/>
  </si>
  <si>
    <t>USS RODNEY M. DAVIS (FFG 60)</t>
  </si>
  <si>
    <t>SHIPS - 61. RONALD REAGAN</t>
    <phoneticPr fontId="1"/>
  </si>
  <si>
    <t>April, 2011</t>
    <phoneticPr fontId="1"/>
  </si>
  <si>
    <t>SHIPS - 62. SACRAMENTO</t>
    <phoneticPr fontId="1"/>
  </si>
  <si>
    <t>December, 2001</t>
    <phoneticPr fontId="1"/>
  </si>
  <si>
    <t>SHIPS - 64. SAN FRANCISCO</t>
    <phoneticPr fontId="1"/>
  </si>
  <si>
    <t>UNITED STATES SHIP SAN FRANCISCO (SSN-711)</t>
    <phoneticPr fontId="1"/>
  </si>
  <si>
    <t>SHIPS - 66. STETHEM</t>
    <phoneticPr fontId="1"/>
  </si>
  <si>
    <t>USS STETHEM (DDG 63)</t>
  </si>
  <si>
    <t>May, 2006</t>
    <phoneticPr fontId="1"/>
  </si>
  <si>
    <t>August, 2006</t>
    <phoneticPr fontId="1"/>
  </si>
  <si>
    <t>RECORDS TRANSCRIBED BY UMEBAYASHI (2005)</t>
    <phoneticPr fontId="1"/>
  </si>
  <si>
    <t>RECORDS TRANSCRIBED BY UMEBAYASHI (2006)</t>
    <phoneticPr fontId="1"/>
  </si>
  <si>
    <t>SHIPS - 67. TENNESSEE</t>
    <phoneticPr fontId="1"/>
  </si>
  <si>
    <t>USS TENNESSEE (SSBN734)</t>
    <phoneticPr fontId="1"/>
  </si>
  <si>
    <t>SHIPS - 68. THACH</t>
    <phoneticPr fontId="1"/>
  </si>
  <si>
    <t>USS THACH (FFG 43)</t>
  </si>
  <si>
    <t>USS THACH (FFG 43)</t>
    <phoneticPr fontId="1"/>
  </si>
  <si>
    <t>INDEX OF THACH INSTRUCTIONS/NOTICES</t>
    <phoneticPr fontId="1"/>
  </si>
  <si>
    <t>SHIPS - 69. TICONDEROGA</t>
    <phoneticPr fontId="1"/>
  </si>
  <si>
    <t>COMMAND HISTORY FOR 1966</t>
    <phoneticPr fontId="1"/>
  </si>
  <si>
    <t>COMMANDING OFFICER, USS TICONDEROGA (CVA-14)</t>
    <phoneticPr fontId="1"/>
  </si>
  <si>
    <t>January, 1965</t>
    <phoneticPr fontId="1"/>
  </si>
  <si>
    <t>February, 1965</t>
    <phoneticPr fontId="1"/>
  </si>
  <si>
    <t>March, 1965</t>
    <phoneticPr fontId="1"/>
  </si>
  <si>
    <t>April, 1965</t>
    <phoneticPr fontId="1"/>
  </si>
  <si>
    <t>May, 1965</t>
    <phoneticPr fontId="1"/>
  </si>
  <si>
    <t>June, 1965</t>
    <phoneticPr fontId="1"/>
  </si>
  <si>
    <t>July, 1965</t>
    <phoneticPr fontId="1"/>
  </si>
  <si>
    <t>August, 1965</t>
    <phoneticPr fontId="1"/>
  </si>
  <si>
    <t>September, 1965</t>
    <phoneticPr fontId="1"/>
  </si>
  <si>
    <t>October, 1965</t>
    <phoneticPr fontId="1"/>
  </si>
  <si>
    <t>November, 1965</t>
    <phoneticPr fontId="1"/>
  </si>
  <si>
    <t>SHIP'S DECK LOG BOOK</t>
    <phoneticPr fontId="1"/>
  </si>
  <si>
    <t>December, 1965</t>
    <phoneticPr fontId="1"/>
  </si>
  <si>
    <t>SHIP'S DECK LOG - REMARKS SHEET</t>
    <phoneticPr fontId="1"/>
  </si>
  <si>
    <t>RESPONDING TO JAPANESE QUESTION ON USS TINCONDEROGA INCIDENT (U)</t>
    <phoneticPr fontId="1"/>
  </si>
  <si>
    <t>HENRY S. ROWN, THE ASSISTANT SECRETARY OF DEFENSE</t>
    <phoneticPr fontId="1"/>
  </si>
  <si>
    <t>USS TICONDEROGA INCIDENT INVOLVING LOSS OF A-4 WITH H-BOMB</t>
    <phoneticPr fontId="1"/>
  </si>
  <si>
    <t>DEPARTMENT OF STATE</t>
    <phoneticPr fontId="1"/>
  </si>
  <si>
    <t>JAPAN: 1965 NUCLEAR WEAPON LOSS</t>
    <phoneticPr fontId="1"/>
  </si>
  <si>
    <t>1965 LOSS OF NUCLEAR WEAPON</t>
    <phoneticPr fontId="1"/>
  </si>
  <si>
    <t>JAPAN: 1965 H-BOMB INCIDENT</t>
    <phoneticPr fontId="1"/>
  </si>
  <si>
    <t>1965 A-4/NUCLEAR WEAPON ACCIDENT</t>
    <phoneticPr fontId="1"/>
  </si>
  <si>
    <t>POLITICAL-MILITARY WEEKLY: MAY 8-12</t>
    <phoneticPr fontId="1"/>
  </si>
  <si>
    <t>YOUR MEETING WITH DEPUTY MINISTER KURIYAMA: NUCLEAR TRANSIT</t>
    <phoneticPr fontId="1"/>
  </si>
  <si>
    <t>SHIPS - 70. VANDEGRIFT</t>
    <phoneticPr fontId="1"/>
  </si>
  <si>
    <t>USS VANDEGRIFT (FFG 48)</t>
  </si>
  <si>
    <t>BEAUFORT (ATS)</t>
    <phoneticPr fontId="1"/>
  </si>
  <si>
    <t>BELLEAU WOOD (LHA)</t>
    <phoneticPr fontId="1"/>
  </si>
  <si>
    <t>BLUE RIDGE (LCC)</t>
    <phoneticPr fontId="1"/>
  </si>
  <si>
    <t>BUNKER HILL (CG)</t>
    <phoneticPr fontId="1"/>
  </si>
  <si>
    <t>CAMDEN (AOE)</t>
    <phoneticPr fontId="1"/>
  </si>
  <si>
    <t>CARL VINSON (CVN)</t>
    <phoneticPr fontId="1"/>
  </si>
  <si>
    <t>CORAL SEA (CV)</t>
    <phoneticPr fontId="1"/>
  </si>
  <si>
    <t>COWPENS (CG)</t>
    <phoneticPr fontId="1"/>
  </si>
  <si>
    <t>CURTIS WILBUR (DDG)</t>
    <phoneticPr fontId="1"/>
  </si>
  <si>
    <t>CURTS (FFG)</t>
    <phoneticPr fontId="1"/>
  </si>
  <si>
    <t>ESSEX (LHD)</t>
    <phoneticPr fontId="1"/>
  </si>
  <si>
    <t>FIFE (DD)</t>
    <phoneticPr fontId="1"/>
  </si>
  <si>
    <t>FITZGERALD (DDG)</t>
    <phoneticPr fontId="1"/>
  </si>
  <si>
    <t>FRANK CABLE (AS)</t>
    <phoneticPr fontId="1"/>
  </si>
  <si>
    <t>GEORGE WASHINGTON (CVN)</t>
    <phoneticPr fontId="1"/>
  </si>
  <si>
    <t>GERMAN TOWN (LSD)</t>
    <phoneticPr fontId="1"/>
  </si>
  <si>
    <t>GUARDIAN (MCM)</t>
    <phoneticPr fontId="1"/>
  </si>
  <si>
    <t>HEWITT (DD)</t>
    <phoneticPr fontId="1"/>
  </si>
  <si>
    <t>INDEPENDENCE (CV)</t>
    <phoneticPr fontId="1"/>
  </si>
  <si>
    <t>JOHN C. STENNIS (CVN)</t>
    <phoneticPr fontId="1"/>
  </si>
  <si>
    <t>JOHN ERICSSON (T-AO)</t>
    <phoneticPr fontId="1"/>
  </si>
  <si>
    <t>JOHN S. McCAIN (DDG)</t>
    <phoneticPr fontId="1"/>
  </si>
  <si>
    <t>LAKE ERIE (CG)</t>
    <phoneticPr fontId="1"/>
  </si>
  <si>
    <t>LASSEN (DDG)</t>
    <phoneticPr fontId="1"/>
  </si>
  <si>
    <t>McCLUSKY (FFG)</t>
    <phoneticPr fontId="1"/>
  </si>
  <si>
    <t>MIDWAY (CV)</t>
    <phoneticPr fontId="1"/>
  </si>
  <si>
    <t>MOBILE BAY (CG)</t>
    <phoneticPr fontId="1"/>
  </si>
  <si>
    <t>NIMITZ (CVN)</t>
    <phoneticPr fontId="1"/>
  </si>
  <si>
    <t>O'BRIEN (DD)</t>
    <phoneticPr fontId="1"/>
  </si>
  <si>
    <t>OBSERVATION ISLAND (T-AGM)</t>
    <phoneticPr fontId="1"/>
  </si>
  <si>
    <t>PATRIOT (MCM)</t>
    <phoneticPr fontId="1"/>
  </si>
  <si>
    <t>PAUL HAMILTON (DDG)</t>
    <phoneticPr fontId="1"/>
  </si>
  <si>
    <t>PECOS (T-AO)</t>
    <phoneticPr fontId="1"/>
  </si>
  <si>
    <t>PRINCETON (CG)</t>
    <phoneticPr fontId="1"/>
  </si>
  <si>
    <t>RAINIER (T-AOE)</t>
    <phoneticPr fontId="1"/>
  </si>
  <si>
    <t>REUBEN JAMES (FFG)</t>
    <phoneticPr fontId="1"/>
  </si>
  <si>
    <t>RODNEY M. DAVIS (FFG)</t>
    <phoneticPr fontId="1"/>
  </si>
  <si>
    <t>RONALD REAGAN (CVN)</t>
    <phoneticPr fontId="1"/>
  </si>
  <si>
    <t>SACRAMENTO (AOE)</t>
    <phoneticPr fontId="1"/>
  </si>
  <si>
    <t>STETHEM (DDG)</t>
    <phoneticPr fontId="1"/>
  </si>
  <si>
    <t>THACH (FFG)</t>
    <phoneticPr fontId="1"/>
  </si>
  <si>
    <t>TICONDEROGA (CVA)</t>
    <phoneticPr fontId="1"/>
  </si>
  <si>
    <t>VANDEGRIFT (FFG)</t>
    <phoneticPr fontId="1"/>
  </si>
  <si>
    <t>Number of Documents (&amp; Microfiche)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</si>
</sst>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0_);\(0\)"/>
  </numFmts>
  <fonts count="15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游ゴシック"/>
      <family val="2"/>
      <charset val="128"/>
    </font>
    <font>
      <sz val="10"/>
      <color rgb="FF9C5700"/>
      <name val="Arial"/>
      <family val="2"/>
    </font>
    <font>
      <sz val="10"/>
      <name val="Arial"/>
      <family val="2"/>
    </font>
    <font>
      <sz val="10"/>
      <color theme="1"/>
      <name val="ＭＳ Ｐゴシック"/>
      <family val="2"/>
      <charset val="128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u/>
      <sz val="12"/>
      <color theme="10"/>
      <name val="游ゴシック"/>
      <family val="2"/>
      <charset val="128"/>
      <scheme val="minor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4" fillId="2" borderId="0" applyFont="0" applyAlignment="0">
      <alignment vertical="center" wrapText="1"/>
    </xf>
    <xf numFmtId="0" fontId="4" fillId="0" borderId="0" applyFont="0" applyAlignment="0">
      <alignment vertical="center" wrapText="1"/>
    </xf>
    <xf numFmtId="0" fontId="13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>
      <alignment vertical="center"/>
    </xf>
    <xf numFmtId="0" fontId="4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0" fontId="4" fillId="2" borderId="0" xfId="2" applyFont="1" applyAlignment="1">
      <alignment vertical="center"/>
    </xf>
    <xf numFmtId="0" fontId="4" fillId="2" borderId="0" xfId="2" applyFont="1" applyAlignment="1">
      <alignment vertical="center" wrapText="1"/>
    </xf>
    <xf numFmtId="0" fontId="4" fillId="0" borderId="0" xfId="3" applyFont="1" applyAlignment="1">
      <alignment horizontal="right" vertical="center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>
      <alignment vertical="center"/>
    </xf>
    <xf numFmtId="0" fontId="6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 wrapText="1"/>
    </xf>
    <xf numFmtId="0" fontId="6" fillId="0" borderId="0" xfId="0" applyFont="1">
      <alignment vertical="center"/>
    </xf>
    <xf numFmtId="0" fontId="6" fillId="2" borderId="0" xfId="1" applyFont="1" applyAlignment="1">
      <alignment vertical="center" wrapText="1"/>
    </xf>
    <xf numFmtId="176" fontId="6" fillId="2" borderId="0" xfId="1" applyNumberFormat="1" applyFont="1" applyAlignment="1">
      <alignment horizontal="right" vertical="center" wrapText="1"/>
    </xf>
    <xf numFmtId="0" fontId="6" fillId="2" borderId="0" xfId="1" applyFont="1">
      <alignment vertical="center"/>
    </xf>
    <xf numFmtId="0" fontId="6" fillId="0" borderId="0" xfId="0" applyFont="1" applyAlignment="1">
      <alignment horizontal="right" vertical="center" wrapText="1"/>
    </xf>
    <xf numFmtId="0" fontId="6" fillId="4" borderId="0" xfId="0" applyFont="1" applyFill="1" applyAlignment="1">
      <alignment vertical="center" wrapText="1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right" vertical="center"/>
    </xf>
    <xf numFmtId="176" fontId="5" fillId="3" borderId="0" xfId="0" applyNumberFormat="1" applyFont="1" applyFill="1" applyAlignment="1">
      <alignment horizontal="left" vertical="center" wrapText="1"/>
    </xf>
    <xf numFmtId="176" fontId="6" fillId="0" borderId="0" xfId="0" applyNumberFormat="1" applyFont="1">
      <alignment vertical="center"/>
    </xf>
    <xf numFmtId="176" fontId="6" fillId="2" borderId="0" xfId="1" applyNumberFormat="1" applyFont="1">
      <alignment vertical="center"/>
    </xf>
    <xf numFmtId="176" fontId="6" fillId="0" borderId="0" xfId="0" applyNumberFormat="1" applyFont="1" applyAlignment="1">
      <alignment horizontal="right" vertical="center"/>
    </xf>
    <xf numFmtId="0" fontId="6" fillId="2" borderId="0" xfId="1" applyFont="1" applyAlignment="1">
      <alignment vertical="center"/>
    </xf>
    <xf numFmtId="176" fontId="6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Alignment="1">
      <alignment vertical="center" wrapText="1"/>
    </xf>
    <xf numFmtId="176" fontId="6" fillId="2" borderId="0" xfId="1" applyNumberFormat="1" applyFont="1" applyAlignment="1">
      <alignment vertical="center" wrapText="1"/>
    </xf>
    <xf numFmtId="176" fontId="5" fillId="3" borderId="0" xfId="0" applyNumberFormat="1" applyFont="1" applyFill="1" applyAlignment="1">
      <alignment vertical="center" wrapText="1"/>
    </xf>
    <xf numFmtId="0" fontId="6" fillId="2" borderId="0" xfId="1" applyFont="1" applyAlignment="1">
      <alignment horizontal="right" vertical="center"/>
    </xf>
    <xf numFmtId="176" fontId="6" fillId="4" borderId="0" xfId="0" applyNumberFormat="1" applyFont="1" applyFill="1">
      <alignment vertical="center"/>
    </xf>
    <xf numFmtId="0" fontId="6" fillId="2" borderId="0" xfId="1" applyFont="1" applyBorder="1" applyAlignment="1">
      <alignment vertical="center" wrapText="1"/>
    </xf>
    <xf numFmtId="176" fontId="6" fillId="2" borderId="0" xfId="1" applyNumberFormat="1" applyFont="1" applyAlignment="1">
      <alignment horizontal="right" vertical="center"/>
    </xf>
    <xf numFmtId="176" fontId="6" fillId="2" borderId="0" xfId="1" applyNumberFormat="1" applyFont="1" applyBorder="1" applyAlignment="1">
      <alignment vertical="center" wrapText="1"/>
    </xf>
    <xf numFmtId="176" fontId="6" fillId="2" borderId="0" xfId="1" applyNumberFormat="1" applyFont="1" applyBorder="1" applyAlignment="1">
      <alignment horizontal="right" vertical="center" wrapText="1"/>
    </xf>
    <xf numFmtId="0" fontId="6" fillId="2" borderId="0" xfId="2" applyFont="1" applyAlignment="1">
      <alignment vertical="center" wrapText="1"/>
    </xf>
    <xf numFmtId="0" fontId="6" fillId="2" borderId="0" xfId="2" applyFont="1" applyAlignment="1">
      <alignment horizontal="right" vertical="center" wrapText="1"/>
    </xf>
    <xf numFmtId="0" fontId="6" fillId="2" borderId="0" xfId="2" applyFont="1" applyAlignment="1">
      <alignment vertical="center"/>
    </xf>
    <xf numFmtId="0" fontId="6" fillId="0" borderId="0" xfId="3" applyFont="1" applyAlignment="1">
      <alignment vertical="center" wrapText="1"/>
    </xf>
    <xf numFmtId="0" fontId="6" fillId="0" borderId="0" xfId="3" applyFont="1" applyAlignment="1">
      <alignment horizontal="right" vertical="center" wrapText="1"/>
    </xf>
    <xf numFmtId="0" fontId="6" fillId="0" borderId="0" xfId="3" applyFont="1" applyAlignment="1">
      <alignment vertical="center"/>
    </xf>
    <xf numFmtId="0" fontId="5" fillId="3" borderId="0" xfId="3" applyFont="1" applyFill="1" applyAlignment="1">
      <alignment vertical="center" wrapText="1"/>
    </xf>
    <xf numFmtId="0" fontId="6" fillId="2" borderId="0" xfId="1" applyFont="1" applyAlignment="1">
      <alignment horizontal="right" vertical="center" wrapText="1"/>
    </xf>
    <xf numFmtId="0" fontId="5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8" fillId="2" borderId="0" xfId="2" applyFont="1" applyAlignment="1">
      <alignment vertical="center"/>
    </xf>
    <xf numFmtId="0" fontId="4" fillId="2" borderId="0" xfId="2" applyFont="1" applyAlignment="1">
      <alignment horizontal="right" vertical="center"/>
    </xf>
    <xf numFmtId="0" fontId="9" fillId="0" borderId="0" xfId="3" applyFont="1" applyAlignment="1">
      <alignment vertical="center"/>
    </xf>
    <xf numFmtId="0" fontId="9" fillId="2" borderId="0" xfId="2" applyFont="1" applyAlignment="1">
      <alignment vertical="center"/>
    </xf>
    <xf numFmtId="0" fontId="9" fillId="2" borderId="0" xfId="2" applyFont="1" applyAlignment="1">
      <alignment vertical="center" wrapText="1"/>
    </xf>
    <xf numFmtId="0" fontId="9" fillId="0" borderId="0" xfId="3" applyFont="1" applyAlignment="1">
      <alignment vertical="center" wrapText="1"/>
    </xf>
    <xf numFmtId="176" fontId="6" fillId="2" borderId="0" xfId="2" applyNumberFormat="1" applyFont="1" applyAlignment="1">
      <alignment horizontal="right" vertical="center" wrapText="1"/>
    </xf>
    <xf numFmtId="0" fontId="4" fillId="0" borderId="0" xfId="3" applyFont="1" applyAlignment="1">
      <alignment horizontal="right" vertical="center" wrapText="1"/>
    </xf>
    <xf numFmtId="0" fontId="9" fillId="0" borderId="0" xfId="3" applyFont="1" applyAlignment="1">
      <alignment horizontal="right" vertical="center" wrapText="1"/>
    </xf>
    <xf numFmtId="0" fontId="4" fillId="2" borderId="0" xfId="2" applyFont="1" applyAlignment="1">
      <alignment horizontal="right" vertical="center" wrapText="1"/>
    </xf>
    <xf numFmtId="176" fontId="6" fillId="0" borderId="0" xfId="3" applyNumberFormat="1" applyFont="1" applyAlignment="1">
      <alignment horizontal="right" vertical="center" wrapText="1"/>
    </xf>
    <xf numFmtId="176" fontId="6" fillId="2" borderId="0" xfId="2" applyNumberFormat="1" applyFont="1" applyAlignment="1">
      <alignment horizontal="right" vertical="center"/>
    </xf>
    <xf numFmtId="176" fontId="6" fillId="2" borderId="0" xfId="2" applyNumberFormat="1" applyFont="1" applyAlignment="1">
      <alignment vertical="center"/>
    </xf>
    <xf numFmtId="176" fontId="6" fillId="0" borderId="0" xfId="3" applyNumberFormat="1" applyFont="1" applyAlignment="1">
      <alignment horizontal="right" vertical="center"/>
    </xf>
    <xf numFmtId="177" fontId="4" fillId="2" borderId="0" xfId="2" applyNumberFormat="1" applyFont="1" applyAlignment="1">
      <alignment vertical="center"/>
    </xf>
    <xf numFmtId="177" fontId="4" fillId="0" borderId="0" xfId="3" applyNumberFormat="1" applyFont="1" applyAlignment="1">
      <alignment vertical="center" wrapText="1"/>
    </xf>
    <xf numFmtId="177" fontId="9" fillId="0" borderId="0" xfId="3" applyNumberFormat="1" applyFont="1" applyAlignment="1">
      <alignment vertical="center"/>
    </xf>
    <xf numFmtId="177" fontId="4" fillId="0" borderId="0" xfId="3" applyNumberFormat="1" applyFont="1" applyAlignment="1">
      <alignment vertical="center"/>
    </xf>
    <xf numFmtId="177" fontId="9" fillId="2" borderId="0" xfId="2" applyNumberFormat="1" applyFont="1" applyAlignment="1">
      <alignment vertical="center"/>
    </xf>
    <xf numFmtId="177" fontId="4" fillId="2" borderId="0" xfId="2" applyNumberFormat="1" applyFont="1" applyAlignment="1">
      <alignment horizontal="right" vertical="center"/>
    </xf>
    <xf numFmtId="177" fontId="4" fillId="0" borderId="0" xfId="0" applyNumberFormat="1" applyFont="1">
      <alignment vertical="center"/>
    </xf>
    <xf numFmtId="177" fontId="9" fillId="0" borderId="0" xfId="3" applyNumberFormat="1" applyFont="1" applyAlignment="1">
      <alignment horizontal="right" vertical="center"/>
    </xf>
    <xf numFmtId="177" fontId="4" fillId="2" borderId="0" xfId="1" applyNumberFormat="1" applyFont="1" applyAlignment="1">
      <alignment vertical="center"/>
    </xf>
    <xf numFmtId="177" fontId="4" fillId="2" borderId="0" xfId="2" applyNumberFormat="1" applyFont="1" applyAlignment="1">
      <alignment horizontal="right" vertical="center" wrapText="1"/>
    </xf>
    <xf numFmtId="177" fontId="3" fillId="3" borderId="0" xfId="0" applyNumberFormat="1" applyFont="1" applyFill="1" applyAlignment="1">
      <alignment horizontal="center" vertical="center" wrapText="1"/>
    </xf>
    <xf numFmtId="0" fontId="9" fillId="0" borderId="0" xfId="3" applyFont="1" applyAlignment="1">
      <alignment horizontal="right" vertical="center"/>
    </xf>
    <xf numFmtId="0" fontId="5" fillId="3" borderId="0" xfId="0" applyFont="1" applyFill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5" fillId="3" borderId="0" xfId="0" applyNumberFormat="1" applyFont="1" applyFill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 wrapText="1"/>
    </xf>
    <xf numFmtId="0" fontId="6" fillId="2" borderId="0" xfId="2" applyFont="1" applyAlignment="1">
      <alignment horizontal="right" vertical="center"/>
    </xf>
    <xf numFmtId="0" fontId="6" fillId="0" borderId="0" xfId="3" applyFont="1" applyAlignment="1">
      <alignment horizontal="right" vertical="center"/>
    </xf>
    <xf numFmtId="0" fontId="6" fillId="4" borderId="0" xfId="0" applyFont="1" applyFill="1" applyAlignment="1">
      <alignment horizontal="right"/>
    </xf>
    <xf numFmtId="0" fontId="5" fillId="3" borderId="0" xfId="0" applyFont="1" applyFill="1" applyAlignment="1">
      <alignment horizontal="right" wrapText="1"/>
    </xf>
    <xf numFmtId="0" fontId="6" fillId="0" borderId="0" xfId="0" applyFont="1" applyAlignment="1">
      <alignment horizontal="right"/>
    </xf>
    <xf numFmtId="0" fontId="6" fillId="2" borderId="0" xfId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5" fillId="3" borderId="0" xfId="3" applyFont="1" applyFill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1" fillId="2" borderId="0" xfId="2" applyFont="1" applyAlignment="1">
      <alignment vertical="center" wrapText="1"/>
    </xf>
    <xf numFmtId="177" fontId="9" fillId="0" borderId="0" xfId="0" applyNumberFormat="1" applyFont="1">
      <alignment vertical="center"/>
    </xf>
    <xf numFmtId="0" fontId="3" fillId="3" borderId="0" xfId="0" applyFont="1" applyFill="1" applyAlignment="1">
      <alignment horizontal="center" vertical="center" wrapText="1"/>
    </xf>
    <xf numFmtId="0" fontId="14" fillId="0" borderId="0" xfId="4" applyFont="1" applyAlignment="1">
      <alignment vertical="center" wrapText="1"/>
    </xf>
    <xf numFmtId="0" fontId="5" fillId="4" borderId="0" xfId="0" applyFont="1" applyFill="1" applyAlignment="1">
      <alignment horizontal="left" vertical="center"/>
    </xf>
    <xf numFmtId="176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</cellXfs>
  <cellStyles count="5">
    <cellStyle name="20% - アクセント 3" xfId="1" builtinId="38" customBuiltin="1"/>
    <cellStyle name="スタイル 1" xfId="2" xr:uid="{64E55F21-117E-43B4-AEFE-EE9246889AAE}"/>
    <cellStyle name="スタイル 2" xfId="3" xr:uid="{1A3D8A9A-1192-4A18-9F5D-74BD5E62A752}"/>
    <cellStyle name="ハイパーリンク" xfId="4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6.bin"/><Relationship Id="rId1" Type="http://schemas.openxmlformats.org/officeDocument/2006/relationships/hyperlink" Target="http://www.peacedepot.org/wp-content/uploads/2022/09/RESPONDING-TO-JAPANESE-QUESTION-ON-USS-TINCONDEROGA-INCIDENT-U.pdf" TargetMode="Externa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CA3D6-A0AF-694D-89C0-CEE9AC20AB6A}">
  <dimension ref="A1:F72"/>
  <sheetViews>
    <sheetView workbookViewId="0">
      <selection sqref="A1:XFD1"/>
    </sheetView>
  </sheetViews>
  <sheetFormatPr defaultColWidth="11.5546875" defaultRowHeight="12.75" x14ac:dyDescent="0.4"/>
  <cols>
    <col min="1" max="1" width="4.5546875" style="1" customWidth="1"/>
    <col min="2" max="2" width="25.77734375" style="1" customWidth="1"/>
    <col min="3" max="3" width="17.109375" style="70" customWidth="1"/>
    <col min="4" max="4" width="17.44140625" style="70" customWidth="1"/>
    <col min="5" max="5" width="18.44140625" style="70" customWidth="1"/>
    <col min="6" max="6" width="38.33203125" style="1" customWidth="1"/>
    <col min="7" max="7" width="28.21875" style="2" customWidth="1"/>
    <col min="8" max="16384" width="11.5546875" style="2"/>
  </cols>
  <sheetData>
    <row r="1" spans="1:6" s="93" customFormat="1" ht="25.5" x14ac:dyDescent="0.4">
      <c r="A1" s="93" t="s">
        <v>0</v>
      </c>
      <c r="B1" s="93" t="s">
        <v>1</v>
      </c>
      <c r="C1" s="74" t="s">
        <v>690</v>
      </c>
      <c r="D1" s="74" t="s">
        <v>2</v>
      </c>
      <c r="E1" s="74" t="s">
        <v>3</v>
      </c>
      <c r="F1" s="93" t="s">
        <v>4</v>
      </c>
    </row>
    <row r="2" spans="1:6" s="48" customFormat="1" x14ac:dyDescent="0.4">
      <c r="A2" s="5">
        <v>1</v>
      </c>
      <c r="B2" s="6" t="s">
        <v>5</v>
      </c>
      <c r="C2" s="67">
        <v>1</v>
      </c>
      <c r="D2" s="67">
        <v>8</v>
      </c>
      <c r="E2" s="67"/>
      <c r="F2" s="5">
        <v>45</v>
      </c>
    </row>
    <row r="3" spans="1:6" s="7" customFormat="1" x14ac:dyDescent="0.4">
      <c r="A3" s="8">
        <v>2</v>
      </c>
      <c r="B3" s="7" t="s">
        <v>647</v>
      </c>
      <c r="C3" s="64">
        <v>4</v>
      </c>
      <c r="D3" s="64">
        <v>58</v>
      </c>
      <c r="E3" s="64"/>
      <c r="F3" s="8">
        <v>45</v>
      </c>
    </row>
    <row r="4" spans="1:6" s="6" customFormat="1" x14ac:dyDescent="0.4">
      <c r="A4" s="5">
        <v>3</v>
      </c>
      <c r="B4" s="2" t="s">
        <v>648</v>
      </c>
      <c r="C4" s="67">
        <v>25</v>
      </c>
      <c r="D4" s="67">
        <v>994</v>
      </c>
      <c r="E4" s="67"/>
      <c r="F4" s="5">
        <v>46</v>
      </c>
    </row>
    <row r="5" spans="1:6" s="7" customFormat="1" x14ac:dyDescent="0.4">
      <c r="A5" s="8">
        <v>4</v>
      </c>
      <c r="B5" s="7" t="s">
        <v>649</v>
      </c>
      <c r="C5" s="64">
        <v>6</v>
      </c>
      <c r="D5" s="64">
        <v>317</v>
      </c>
      <c r="E5" s="64"/>
      <c r="F5" s="8">
        <v>45</v>
      </c>
    </row>
    <row r="6" spans="1:6" x14ac:dyDescent="0.4">
      <c r="A6" s="1">
        <v>5</v>
      </c>
      <c r="B6" s="2" t="s">
        <v>6</v>
      </c>
      <c r="C6" s="70">
        <v>1</v>
      </c>
      <c r="D6" s="70">
        <v>6</v>
      </c>
      <c r="F6" s="1">
        <v>45</v>
      </c>
    </row>
    <row r="7" spans="1:6" s="7" customFormat="1" x14ac:dyDescent="0.4">
      <c r="A7" s="7">
        <v>6</v>
      </c>
      <c r="B7" s="7" t="s">
        <v>650</v>
      </c>
      <c r="C7" s="64">
        <v>28</v>
      </c>
      <c r="D7" s="64">
        <v>793</v>
      </c>
      <c r="E7" s="64">
        <v>29</v>
      </c>
      <c r="F7" s="7">
        <v>47</v>
      </c>
    </row>
    <row r="8" spans="1:6" s="49" customFormat="1" x14ac:dyDescent="0.4">
      <c r="A8" s="52">
        <v>7</v>
      </c>
      <c r="B8" s="2" t="s">
        <v>7</v>
      </c>
      <c r="C8" s="66">
        <v>2</v>
      </c>
      <c r="D8" s="66">
        <v>25</v>
      </c>
      <c r="E8" s="66"/>
      <c r="F8" s="52">
        <v>45</v>
      </c>
    </row>
    <row r="9" spans="1:6" s="7" customFormat="1" x14ac:dyDescent="0.4">
      <c r="A9" s="8">
        <v>8</v>
      </c>
      <c r="B9" s="7" t="s">
        <v>651</v>
      </c>
      <c r="C9" s="64">
        <v>10</v>
      </c>
      <c r="D9" s="64">
        <v>104</v>
      </c>
      <c r="E9" s="64"/>
      <c r="F9" s="8">
        <v>45</v>
      </c>
    </row>
    <row r="10" spans="1:6" s="6" customFormat="1" x14ac:dyDescent="0.4">
      <c r="A10" s="5">
        <v>9</v>
      </c>
      <c r="B10" s="2" t="s">
        <v>652</v>
      </c>
      <c r="C10" s="67">
        <v>8</v>
      </c>
      <c r="D10" s="67">
        <v>139</v>
      </c>
      <c r="E10" s="67"/>
      <c r="F10" s="5">
        <v>45</v>
      </c>
    </row>
    <row r="11" spans="1:6" s="7" customFormat="1" x14ac:dyDescent="0.4">
      <c r="A11" s="8">
        <v>10</v>
      </c>
      <c r="B11" s="7" t="s">
        <v>8</v>
      </c>
      <c r="C11" s="64">
        <v>1</v>
      </c>
      <c r="D11" s="64">
        <v>9</v>
      </c>
      <c r="E11" s="64"/>
      <c r="F11" s="8">
        <v>45</v>
      </c>
    </row>
    <row r="12" spans="1:6" s="6" customFormat="1" x14ac:dyDescent="0.4">
      <c r="A12" s="5">
        <v>11</v>
      </c>
      <c r="B12" s="2" t="s">
        <v>653</v>
      </c>
      <c r="C12" s="67">
        <v>1</v>
      </c>
      <c r="D12" s="67">
        <v>19</v>
      </c>
      <c r="E12" s="67"/>
      <c r="F12" s="5">
        <v>45</v>
      </c>
    </row>
    <row r="13" spans="1:6" s="7" customFormat="1" x14ac:dyDescent="0.4">
      <c r="A13" s="8">
        <v>12</v>
      </c>
      <c r="B13" s="7" t="s">
        <v>654</v>
      </c>
      <c r="C13" s="64">
        <v>4</v>
      </c>
      <c r="D13" s="64">
        <v>137</v>
      </c>
      <c r="E13" s="64"/>
      <c r="F13" s="8">
        <v>45</v>
      </c>
    </row>
    <row r="14" spans="1:6" s="6" customFormat="1" x14ac:dyDescent="0.4">
      <c r="A14" s="5">
        <v>13</v>
      </c>
      <c r="B14" s="2" t="s">
        <v>655</v>
      </c>
      <c r="C14" s="67">
        <v>12</v>
      </c>
      <c r="D14" s="67">
        <v>173</v>
      </c>
      <c r="E14" s="67"/>
      <c r="F14" s="5">
        <v>45</v>
      </c>
    </row>
    <row r="15" spans="1:6" s="7" customFormat="1" x14ac:dyDescent="0.4">
      <c r="A15" s="8">
        <v>14</v>
      </c>
      <c r="B15" s="7" t="s">
        <v>656</v>
      </c>
      <c r="C15" s="64">
        <v>6</v>
      </c>
      <c r="D15" s="64">
        <v>70</v>
      </c>
      <c r="E15" s="64"/>
      <c r="F15" s="8">
        <v>48</v>
      </c>
    </row>
    <row r="16" spans="1:6" s="6" customFormat="1" x14ac:dyDescent="0.4">
      <c r="A16" s="5">
        <v>15</v>
      </c>
      <c r="B16" s="2" t="s">
        <v>9</v>
      </c>
      <c r="C16" s="67">
        <v>1</v>
      </c>
      <c r="D16" s="67">
        <v>6</v>
      </c>
      <c r="E16" s="67"/>
      <c r="F16" s="5">
        <v>48</v>
      </c>
    </row>
    <row r="17" spans="1:6" s="7" customFormat="1" x14ac:dyDescent="0.4">
      <c r="A17" s="8">
        <v>16</v>
      </c>
      <c r="B17" s="7" t="s">
        <v>10</v>
      </c>
      <c r="C17" s="64">
        <v>1</v>
      </c>
      <c r="D17" s="64">
        <v>10</v>
      </c>
      <c r="E17" s="64"/>
      <c r="F17" s="8">
        <v>48</v>
      </c>
    </row>
    <row r="18" spans="1:6" s="6" customFormat="1" x14ac:dyDescent="0.4">
      <c r="A18" s="6">
        <v>17</v>
      </c>
      <c r="B18" s="2" t="s">
        <v>657</v>
      </c>
      <c r="C18" s="67">
        <v>52</v>
      </c>
      <c r="D18" s="67">
        <v>632</v>
      </c>
      <c r="E18" s="67"/>
      <c r="F18" s="6">
        <v>49</v>
      </c>
    </row>
    <row r="19" spans="1:6" s="50" customFormat="1" x14ac:dyDescent="0.4">
      <c r="A19" s="53">
        <v>18</v>
      </c>
      <c r="B19" s="7" t="s">
        <v>11</v>
      </c>
      <c r="C19" s="68">
        <v>7</v>
      </c>
      <c r="D19" s="68">
        <v>74</v>
      </c>
      <c r="E19" s="68"/>
      <c r="F19" s="53">
        <v>48</v>
      </c>
    </row>
    <row r="20" spans="1:6" s="6" customFormat="1" x14ac:dyDescent="0.4">
      <c r="A20" s="5">
        <v>19</v>
      </c>
      <c r="B20" s="2" t="s">
        <v>658</v>
      </c>
      <c r="C20" s="67">
        <v>22</v>
      </c>
      <c r="D20" s="67">
        <v>575</v>
      </c>
      <c r="E20" s="67">
        <v>27</v>
      </c>
      <c r="F20" s="5">
        <v>48</v>
      </c>
    </row>
    <row r="21" spans="1:6" s="7" customFormat="1" x14ac:dyDescent="0.4">
      <c r="A21" s="8">
        <v>20</v>
      </c>
      <c r="B21" s="7" t="s">
        <v>659</v>
      </c>
      <c r="C21" s="64">
        <v>17</v>
      </c>
      <c r="D21" s="64">
        <v>175</v>
      </c>
      <c r="E21" s="64"/>
      <c r="F21" s="8">
        <v>50</v>
      </c>
    </row>
    <row r="22" spans="1:6" s="6" customFormat="1" x14ac:dyDescent="0.4">
      <c r="A22" s="5">
        <v>21</v>
      </c>
      <c r="B22" s="2" t="s">
        <v>12</v>
      </c>
      <c r="C22" s="67">
        <v>1</v>
      </c>
      <c r="D22" s="67">
        <v>8</v>
      </c>
      <c r="E22" s="67"/>
      <c r="F22" s="5">
        <v>50</v>
      </c>
    </row>
    <row r="23" spans="1:6" s="7" customFormat="1" x14ac:dyDescent="0.4">
      <c r="A23" s="8">
        <v>22</v>
      </c>
      <c r="B23" s="7" t="s">
        <v>660</v>
      </c>
      <c r="C23" s="64">
        <v>1</v>
      </c>
      <c r="D23" s="64">
        <v>97</v>
      </c>
      <c r="E23" s="64"/>
      <c r="F23" s="8">
        <v>50</v>
      </c>
    </row>
    <row r="24" spans="1:6" s="6" customFormat="1" x14ac:dyDescent="0.4">
      <c r="A24" s="5">
        <v>23</v>
      </c>
      <c r="B24" s="2" t="s">
        <v>661</v>
      </c>
      <c r="C24" s="67">
        <v>2</v>
      </c>
      <c r="D24" s="67">
        <v>541</v>
      </c>
      <c r="E24" s="67"/>
      <c r="F24" s="5">
        <v>50</v>
      </c>
    </row>
    <row r="25" spans="1:6" s="7" customFormat="1" x14ac:dyDescent="0.4">
      <c r="A25" s="7">
        <v>24</v>
      </c>
      <c r="B25" s="7" t="s">
        <v>662</v>
      </c>
      <c r="C25" s="64">
        <v>13</v>
      </c>
      <c r="D25" s="64">
        <v>241</v>
      </c>
      <c r="E25" s="64"/>
      <c r="F25" s="7">
        <v>50</v>
      </c>
    </row>
    <row r="26" spans="1:6" s="6" customFormat="1" x14ac:dyDescent="0.4">
      <c r="A26" s="5">
        <v>25</v>
      </c>
      <c r="B26" s="2" t="s">
        <v>663</v>
      </c>
      <c r="C26" s="67">
        <v>2</v>
      </c>
      <c r="D26" s="67">
        <v>174</v>
      </c>
      <c r="E26" s="67"/>
      <c r="F26" s="5">
        <v>50</v>
      </c>
    </row>
    <row r="27" spans="1:6" s="7" customFormat="1" x14ac:dyDescent="0.4">
      <c r="A27" s="8">
        <v>26</v>
      </c>
      <c r="B27" s="7" t="s">
        <v>13</v>
      </c>
      <c r="C27" s="64">
        <v>1</v>
      </c>
      <c r="D27" s="64">
        <v>4</v>
      </c>
      <c r="E27" s="64"/>
      <c r="F27" s="8">
        <v>50</v>
      </c>
    </row>
    <row r="28" spans="1:6" s="6" customFormat="1" x14ac:dyDescent="0.4">
      <c r="A28" s="5">
        <v>27</v>
      </c>
      <c r="B28" s="2" t="s">
        <v>664</v>
      </c>
      <c r="C28" s="67">
        <v>5</v>
      </c>
      <c r="D28" s="67">
        <v>42</v>
      </c>
      <c r="E28" s="67"/>
      <c r="F28" s="5">
        <v>53</v>
      </c>
    </row>
    <row r="29" spans="1:6" s="7" customFormat="1" x14ac:dyDescent="0.4">
      <c r="A29" s="7">
        <v>28</v>
      </c>
      <c r="B29" s="7" t="s">
        <v>665</v>
      </c>
      <c r="C29" s="68">
        <v>41</v>
      </c>
      <c r="D29" s="68">
        <v>2526</v>
      </c>
      <c r="E29" s="64">
        <v>86</v>
      </c>
      <c r="F29" s="51" t="s">
        <v>14</v>
      </c>
    </row>
    <row r="30" spans="1:6" s="6" customFormat="1" x14ac:dyDescent="0.4">
      <c r="A30" s="6">
        <v>29</v>
      </c>
      <c r="B30" s="2" t="s">
        <v>15</v>
      </c>
      <c r="C30" s="67">
        <v>1</v>
      </c>
      <c r="D30" s="67">
        <v>2</v>
      </c>
      <c r="E30" s="67"/>
      <c r="F30" s="9">
        <v>53</v>
      </c>
    </row>
    <row r="31" spans="1:6" s="7" customFormat="1" x14ac:dyDescent="0.4">
      <c r="A31" s="8">
        <v>30</v>
      </c>
      <c r="B31" s="54" t="s">
        <v>666</v>
      </c>
      <c r="C31" s="64">
        <v>-4</v>
      </c>
      <c r="D31" s="64">
        <v>-280</v>
      </c>
      <c r="E31" s="64"/>
      <c r="F31" s="51" t="s">
        <v>16</v>
      </c>
    </row>
    <row r="32" spans="1:6" s="6" customFormat="1" x14ac:dyDescent="0.4">
      <c r="A32" s="6">
        <v>31</v>
      </c>
      <c r="B32" s="2" t="s">
        <v>667</v>
      </c>
      <c r="C32" s="67">
        <v>2</v>
      </c>
      <c r="D32" s="67">
        <v>177</v>
      </c>
      <c r="E32" s="67"/>
      <c r="F32" s="6">
        <v>53</v>
      </c>
    </row>
    <row r="33" spans="1:6" s="7" customFormat="1" x14ac:dyDescent="0.4">
      <c r="A33" s="8">
        <v>32</v>
      </c>
      <c r="B33" s="7" t="s">
        <v>668</v>
      </c>
      <c r="C33" s="64">
        <v>15</v>
      </c>
      <c r="D33" s="64">
        <v>107</v>
      </c>
      <c r="E33" s="64"/>
      <c r="F33" s="8">
        <v>53</v>
      </c>
    </row>
    <row r="34" spans="1:6" s="6" customFormat="1" x14ac:dyDescent="0.4">
      <c r="A34" s="5">
        <v>33</v>
      </c>
      <c r="B34" s="2" t="s">
        <v>17</v>
      </c>
      <c r="C34" s="67">
        <v>1</v>
      </c>
      <c r="D34" s="67">
        <v>8</v>
      </c>
      <c r="E34" s="67"/>
      <c r="F34" s="5">
        <v>53</v>
      </c>
    </row>
    <row r="35" spans="1:6" s="7" customFormat="1" x14ac:dyDescent="0.4">
      <c r="A35" s="8">
        <v>34</v>
      </c>
      <c r="B35" s="7" t="s">
        <v>18</v>
      </c>
      <c r="C35" s="51">
        <v>1</v>
      </c>
      <c r="D35" s="51">
        <v>13</v>
      </c>
      <c r="E35" s="51"/>
      <c r="F35" s="59">
        <v>53</v>
      </c>
    </row>
    <row r="36" spans="1:6" s="49" customFormat="1" x14ac:dyDescent="0.4">
      <c r="A36" s="55">
        <v>35</v>
      </c>
      <c r="B36" s="6" t="s">
        <v>19</v>
      </c>
      <c r="C36" s="75">
        <v>14</v>
      </c>
      <c r="D36" s="75">
        <v>464</v>
      </c>
      <c r="E36" s="75"/>
      <c r="F36" s="58">
        <v>53</v>
      </c>
    </row>
    <row r="37" spans="1:6" s="7" customFormat="1" x14ac:dyDescent="0.4">
      <c r="A37" s="8">
        <v>36</v>
      </c>
      <c r="B37" s="54" t="s">
        <v>20</v>
      </c>
      <c r="C37" s="64">
        <v>-1</v>
      </c>
      <c r="D37" s="64">
        <v>-2</v>
      </c>
      <c r="E37" s="64"/>
      <c r="F37" s="51" t="s">
        <v>21</v>
      </c>
    </row>
    <row r="38" spans="1:6" s="49" customFormat="1" x14ac:dyDescent="0.4">
      <c r="A38" s="55">
        <v>37</v>
      </c>
      <c r="B38" s="2" t="s">
        <v>22</v>
      </c>
      <c r="C38" s="71">
        <v>1</v>
      </c>
      <c r="D38" s="71">
        <v>6</v>
      </c>
      <c r="E38" s="71"/>
      <c r="F38" s="58">
        <v>54</v>
      </c>
    </row>
    <row r="39" spans="1:6" s="7" customFormat="1" x14ac:dyDescent="0.4">
      <c r="A39" s="8">
        <v>38</v>
      </c>
      <c r="B39" s="7" t="s">
        <v>669</v>
      </c>
      <c r="C39" s="64">
        <v>3</v>
      </c>
      <c r="D39" s="64">
        <v>18</v>
      </c>
      <c r="E39" s="64"/>
      <c r="F39" s="8">
        <v>54</v>
      </c>
    </row>
    <row r="40" spans="1:6" s="6" customFormat="1" x14ac:dyDescent="0.4">
      <c r="A40" s="5">
        <v>39</v>
      </c>
      <c r="B40" s="2" t="s">
        <v>670</v>
      </c>
      <c r="C40" s="67">
        <v>3</v>
      </c>
      <c r="D40" s="67">
        <v>25</v>
      </c>
      <c r="E40" s="67"/>
      <c r="F40" s="5">
        <v>54</v>
      </c>
    </row>
    <row r="41" spans="1:6" s="7" customFormat="1" x14ac:dyDescent="0.4">
      <c r="A41" s="8">
        <v>40</v>
      </c>
      <c r="B41" s="7" t="s">
        <v>23</v>
      </c>
      <c r="C41" s="64">
        <v>1</v>
      </c>
      <c r="D41" s="64">
        <v>8</v>
      </c>
      <c r="E41" s="64"/>
      <c r="F41" s="8">
        <v>54</v>
      </c>
    </row>
    <row r="42" spans="1:6" s="6" customFormat="1" x14ac:dyDescent="0.4">
      <c r="A42" s="5">
        <v>41</v>
      </c>
      <c r="B42" s="2" t="s">
        <v>671</v>
      </c>
      <c r="C42" s="67">
        <v>1</v>
      </c>
      <c r="D42" s="67">
        <v>8</v>
      </c>
      <c r="E42" s="67"/>
      <c r="F42" s="5">
        <v>54</v>
      </c>
    </row>
    <row r="43" spans="1:6" s="4" customFormat="1" x14ac:dyDescent="0.4">
      <c r="A43" s="3">
        <v>42</v>
      </c>
      <c r="B43" s="7" t="s">
        <v>24</v>
      </c>
      <c r="C43" s="72">
        <v>1</v>
      </c>
      <c r="D43" s="72">
        <v>8</v>
      </c>
      <c r="E43" s="72"/>
      <c r="F43" s="3">
        <v>54</v>
      </c>
    </row>
    <row r="44" spans="1:6" s="6" customFormat="1" x14ac:dyDescent="0.4">
      <c r="A44" s="6">
        <v>43</v>
      </c>
      <c r="B44" s="2" t="s">
        <v>672</v>
      </c>
      <c r="C44" s="67">
        <v>91</v>
      </c>
      <c r="D44" s="67">
        <v>1523</v>
      </c>
      <c r="E44" s="67">
        <v>225</v>
      </c>
      <c r="F44" s="9" t="s">
        <v>25</v>
      </c>
    </row>
    <row r="45" spans="1:6" s="7" customFormat="1" x14ac:dyDescent="0.4">
      <c r="A45" s="7">
        <v>44</v>
      </c>
      <c r="B45" s="7" t="s">
        <v>26</v>
      </c>
      <c r="C45" s="64">
        <v>2</v>
      </c>
      <c r="D45" s="64">
        <v>6</v>
      </c>
      <c r="E45" s="64"/>
      <c r="F45" s="51">
        <v>54</v>
      </c>
    </row>
    <row r="46" spans="1:6" s="6" customFormat="1" x14ac:dyDescent="0.4">
      <c r="A46" s="6">
        <v>45</v>
      </c>
      <c r="B46" s="2" t="s">
        <v>673</v>
      </c>
      <c r="C46" s="67">
        <v>8</v>
      </c>
      <c r="D46" s="67">
        <v>168</v>
      </c>
      <c r="E46" s="67"/>
      <c r="F46" s="6">
        <v>54</v>
      </c>
    </row>
    <row r="47" spans="1:6" s="8" customFormat="1" ht="25.5" x14ac:dyDescent="0.4">
      <c r="A47" s="8">
        <v>46</v>
      </c>
      <c r="B47" s="8" t="s">
        <v>674</v>
      </c>
      <c r="C47" s="73" t="s">
        <v>27</v>
      </c>
      <c r="D47" s="73" t="s">
        <v>28</v>
      </c>
      <c r="E47" s="73"/>
      <c r="F47" s="59" t="s">
        <v>29</v>
      </c>
    </row>
    <row r="48" spans="1:6" s="6" customFormat="1" x14ac:dyDescent="0.4">
      <c r="A48" s="6">
        <v>47</v>
      </c>
      <c r="B48" s="2" t="s">
        <v>675</v>
      </c>
      <c r="C48" s="67">
        <v>10</v>
      </c>
      <c r="D48" s="67">
        <v>177</v>
      </c>
      <c r="E48" s="67"/>
      <c r="F48" s="6">
        <v>54</v>
      </c>
    </row>
    <row r="49" spans="1:6" s="7" customFormat="1" x14ac:dyDescent="0.4">
      <c r="A49" s="8">
        <v>48</v>
      </c>
      <c r="B49" s="7" t="s">
        <v>676</v>
      </c>
      <c r="C49" s="64">
        <v>2</v>
      </c>
      <c r="D49" s="64">
        <v>129</v>
      </c>
      <c r="E49" s="64"/>
      <c r="F49" s="8">
        <v>57</v>
      </c>
    </row>
    <row r="50" spans="1:6" s="6" customFormat="1" x14ac:dyDescent="0.4">
      <c r="A50" s="5">
        <v>49</v>
      </c>
      <c r="B50" s="2" t="s">
        <v>30</v>
      </c>
      <c r="C50" s="67">
        <v>1</v>
      </c>
      <c r="D50" s="67">
        <v>10</v>
      </c>
      <c r="E50" s="67"/>
      <c r="F50" s="5">
        <v>57</v>
      </c>
    </row>
    <row r="51" spans="1:6" s="7" customFormat="1" x14ac:dyDescent="0.4">
      <c r="A51" s="8">
        <v>50</v>
      </c>
      <c r="B51" s="7" t="s">
        <v>31</v>
      </c>
      <c r="C51" s="64">
        <v>1</v>
      </c>
      <c r="D51" s="64">
        <v>6</v>
      </c>
      <c r="E51" s="64"/>
      <c r="F51" s="8">
        <v>57</v>
      </c>
    </row>
    <row r="52" spans="1:6" s="6" customFormat="1" x14ac:dyDescent="0.4">
      <c r="A52" s="5">
        <v>51</v>
      </c>
      <c r="B52" s="2" t="s">
        <v>677</v>
      </c>
      <c r="C52" s="67">
        <v>1</v>
      </c>
      <c r="D52" s="67">
        <v>232</v>
      </c>
      <c r="E52" s="67"/>
      <c r="F52" s="5">
        <v>57</v>
      </c>
    </row>
    <row r="53" spans="1:6" s="7" customFormat="1" x14ac:dyDescent="0.4">
      <c r="A53" s="8">
        <v>52</v>
      </c>
      <c r="B53" s="7" t="s">
        <v>678</v>
      </c>
      <c r="C53" s="64">
        <v>4</v>
      </c>
      <c r="D53" s="64">
        <v>47</v>
      </c>
      <c r="E53" s="64"/>
      <c r="F53" s="8">
        <v>57</v>
      </c>
    </row>
    <row r="54" spans="1:6" s="6" customFormat="1" x14ac:dyDescent="0.4">
      <c r="A54" s="5">
        <v>53</v>
      </c>
      <c r="B54" s="2" t="s">
        <v>679</v>
      </c>
      <c r="C54" s="67">
        <v>2</v>
      </c>
      <c r="D54" s="67">
        <v>60</v>
      </c>
      <c r="E54" s="67"/>
      <c r="F54" s="5">
        <v>57</v>
      </c>
    </row>
    <row r="55" spans="1:6" s="7" customFormat="1" x14ac:dyDescent="0.4">
      <c r="A55" s="8">
        <v>54</v>
      </c>
      <c r="B55" s="7" t="s">
        <v>32</v>
      </c>
      <c r="C55" s="64">
        <v>1</v>
      </c>
      <c r="D55" s="64">
        <v>4</v>
      </c>
      <c r="E55" s="64"/>
      <c r="F55" s="8">
        <v>57</v>
      </c>
    </row>
    <row r="56" spans="1:6" s="6" customFormat="1" x14ac:dyDescent="0.4">
      <c r="A56" s="5">
        <v>55</v>
      </c>
      <c r="B56" s="2" t="s">
        <v>33</v>
      </c>
      <c r="C56" s="67">
        <v>1</v>
      </c>
      <c r="D56" s="67">
        <v>9</v>
      </c>
      <c r="E56" s="67"/>
      <c r="F56" s="5">
        <v>57</v>
      </c>
    </row>
    <row r="57" spans="1:6" s="7" customFormat="1" x14ac:dyDescent="0.4">
      <c r="A57" s="8">
        <v>56</v>
      </c>
      <c r="B57" s="7" t="s">
        <v>680</v>
      </c>
      <c r="C57" s="64">
        <v>3</v>
      </c>
      <c r="D57" s="64">
        <v>34</v>
      </c>
      <c r="E57" s="64"/>
      <c r="F57" s="8">
        <v>57</v>
      </c>
    </row>
    <row r="58" spans="1:6" s="6" customFormat="1" x14ac:dyDescent="0.4">
      <c r="A58" s="5">
        <v>57</v>
      </c>
      <c r="B58" s="2" t="s">
        <v>34</v>
      </c>
      <c r="C58" s="67">
        <v>1</v>
      </c>
      <c r="D58" s="67">
        <v>2</v>
      </c>
      <c r="E58" s="67"/>
      <c r="F58" s="5">
        <v>57</v>
      </c>
    </row>
    <row r="59" spans="1:6" s="7" customFormat="1" x14ac:dyDescent="0.4">
      <c r="A59" s="8">
        <v>58</v>
      </c>
      <c r="B59" s="7" t="s">
        <v>681</v>
      </c>
      <c r="C59" s="64">
        <v>1</v>
      </c>
      <c r="D59" s="64">
        <v>1</v>
      </c>
      <c r="E59" s="64"/>
      <c r="F59" s="8">
        <v>57</v>
      </c>
    </row>
    <row r="60" spans="1:6" x14ac:dyDescent="0.4">
      <c r="A60" s="1">
        <v>59</v>
      </c>
      <c r="B60" s="2" t="s">
        <v>682</v>
      </c>
      <c r="C60" s="70">
        <v>3</v>
      </c>
      <c r="D60" s="70">
        <v>31</v>
      </c>
      <c r="F60" s="1">
        <v>57</v>
      </c>
    </row>
    <row r="61" spans="1:6" s="4" customFormat="1" x14ac:dyDescent="0.4">
      <c r="A61" s="3">
        <v>60</v>
      </c>
      <c r="B61" s="7" t="s">
        <v>683</v>
      </c>
      <c r="C61" s="72">
        <v>1</v>
      </c>
      <c r="D61" s="72">
        <v>18</v>
      </c>
      <c r="E61" s="72"/>
      <c r="F61" s="3">
        <v>57</v>
      </c>
    </row>
    <row r="62" spans="1:6" x14ac:dyDescent="0.4">
      <c r="A62" s="1">
        <v>61</v>
      </c>
      <c r="B62" s="2" t="s">
        <v>684</v>
      </c>
      <c r="C62" s="70">
        <v>2</v>
      </c>
      <c r="D62" s="70">
        <v>935</v>
      </c>
      <c r="F62" s="1">
        <v>58</v>
      </c>
    </row>
    <row r="63" spans="1:6" s="7" customFormat="1" x14ac:dyDescent="0.4">
      <c r="A63" s="8">
        <v>62</v>
      </c>
      <c r="B63" s="7" t="s">
        <v>685</v>
      </c>
      <c r="C63" s="64">
        <v>2</v>
      </c>
      <c r="D63" s="64">
        <v>42</v>
      </c>
      <c r="E63" s="64"/>
      <c r="F63" s="8">
        <v>58</v>
      </c>
    </row>
    <row r="64" spans="1:6" s="6" customFormat="1" x14ac:dyDescent="0.4">
      <c r="A64" s="5">
        <v>63</v>
      </c>
      <c r="B64" s="55" t="s">
        <v>35</v>
      </c>
      <c r="C64" s="67">
        <v>-1</v>
      </c>
      <c r="D64" s="67">
        <v>-2</v>
      </c>
      <c r="E64" s="67"/>
      <c r="F64" s="57" t="s">
        <v>36</v>
      </c>
    </row>
    <row r="65" spans="1:6" s="7" customFormat="1" x14ac:dyDescent="0.4">
      <c r="A65" s="8">
        <v>64</v>
      </c>
      <c r="B65" s="7" t="s">
        <v>37</v>
      </c>
      <c r="C65" s="69">
        <v>1</v>
      </c>
      <c r="D65" s="69">
        <v>4</v>
      </c>
      <c r="E65" s="69"/>
      <c r="F65" s="59">
        <v>58</v>
      </c>
    </row>
    <row r="66" spans="1:6" s="6" customFormat="1" x14ac:dyDescent="0.4">
      <c r="A66" s="5">
        <v>65</v>
      </c>
      <c r="B66" s="55" t="s">
        <v>38</v>
      </c>
      <c r="C66" s="65">
        <v>-1</v>
      </c>
      <c r="D66" s="65">
        <v>-12</v>
      </c>
      <c r="E66" s="65"/>
      <c r="F66" s="57" t="s">
        <v>16</v>
      </c>
    </row>
    <row r="67" spans="1:6" s="7" customFormat="1" x14ac:dyDescent="0.4">
      <c r="A67" s="8">
        <v>66</v>
      </c>
      <c r="B67" s="7" t="s">
        <v>686</v>
      </c>
      <c r="C67" s="64">
        <v>8</v>
      </c>
      <c r="D67" s="64">
        <v>32</v>
      </c>
      <c r="E67" s="64"/>
      <c r="F67" s="8">
        <v>58</v>
      </c>
    </row>
    <row r="68" spans="1:6" s="6" customFormat="1" x14ac:dyDescent="0.4">
      <c r="A68" s="5">
        <v>67</v>
      </c>
      <c r="B68" s="2" t="s">
        <v>39</v>
      </c>
      <c r="C68" s="67">
        <v>1</v>
      </c>
      <c r="D68" s="67">
        <v>7</v>
      </c>
      <c r="E68" s="67"/>
      <c r="F68" s="5">
        <v>58</v>
      </c>
    </row>
    <row r="69" spans="1:6" s="4" customFormat="1" x14ac:dyDescent="0.4">
      <c r="A69" s="3">
        <v>68</v>
      </c>
      <c r="B69" s="7" t="s">
        <v>687</v>
      </c>
      <c r="C69" s="72">
        <v>5</v>
      </c>
      <c r="D69" s="72">
        <v>59</v>
      </c>
      <c r="E69" s="72"/>
      <c r="F69" s="3">
        <v>58</v>
      </c>
    </row>
    <row r="70" spans="1:6" x14ac:dyDescent="0.4">
      <c r="A70" s="2">
        <v>69</v>
      </c>
      <c r="B70" s="2" t="s">
        <v>688</v>
      </c>
      <c r="C70" s="70">
        <v>21</v>
      </c>
      <c r="D70" s="70">
        <v>134</v>
      </c>
      <c r="F70" s="2">
        <v>58</v>
      </c>
    </row>
    <row r="71" spans="1:6" s="7" customFormat="1" x14ac:dyDescent="0.4">
      <c r="A71" s="8">
        <v>70</v>
      </c>
      <c r="B71" s="7" t="s">
        <v>689</v>
      </c>
      <c r="C71" s="64">
        <v>1</v>
      </c>
      <c r="D71" s="64">
        <v>6</v>
      </c>
      <c r="E71" s="64"/>
      <c r="F71" s="8">
        <v>58</v>
      </c>
    </row>
    <row r="72" spans="1:6" x14ac:dyDescent="0.4">
      <c r="C72" s="92">
        <f>SUM(C2:C71)</f>
        <v>486</v>
      </c>
      <c r="D72" s="92">
        <f>SUM(D2:D71)</f>
        <v>12181</v>
      </c>
      <c r="E72" s="70">
        <f>SUM(E2:E71)</f>
        <v>367</v>
      </c>
    </row>
  </sheetData>
  <phoneticPr fontId="1"/>
  <pageMargins left="0.25" right="0.25" top="0.75" bottom="0.75" header="0.3" footer="0.3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DBB4B-E31B-4BC2-9F60-67F47DA99B6F}">
  <dimension ref="A1:H11"/>
  <sheetViews>
    <sheetView workbookViewId="0">
      <selection activeCell="G11" sqref="G11"/>
    </sheetView>
  </sheetViews>
  <sheetFormatPr defaultColWidth="11.5546875" defaultRowHeight="12" x14ac:dyDescent="0.4"/>
  <cols>
    <col min="1" max="1" width="3.33203125" style="13" customWidth="1"/>
    <col min="2" max="2" width="18.5546875" style="13" customWidth="1"/>
    <col min="3" max="3" width="16" style="13" customWidth="1"/>
    <col min="4" max="4" width="36.44140625" style="13" customWidth="1"/>
    <col min="5" max="5" width="13.77734375" style="13" customWidth="1"/>
    <col min="6" max="6" width="7.88671875" style="19" customWidth="1"/>
    <col min="7" max="7" width="4.44140625" style="13" customWidth="1"/>
    <col min="8" max="8" width="3.6640625" style="15" customWidth="1"/>
    <col min="9" max="16384" width="11.5546875" style="15"/>
  </cols>
  <sheetData>
    <row r="1" spans="1:8" s="21" customFormat="1" x14ac:dyDescent="0.4">
      <c r="A1" s="95" t="s">
        <v>150</v>
      </c>
      <c r="B1" s="95"/>
      <c r="C1" s="95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151</v>
      </c>
      <c r="C3" s="13" t="s">
        <v>152</v>
      </c>
      <c r="D3" s="13" t="s">
        <v>153</v>
      </c>
      <c r="E3" s="30">
        <f>DATE(1983,1,26)</f>
        <v>30342</v>
      </c>
      <c r="F3" s="19" t="s">
        <v>51</v>
      </c>
      <c r="G3" s="13">
        <v>9</v>
      </c>
      <c r="H3" s="15">
        <v>45</v>
      </c>
    </row>
    <row r="4" spans="1:8" s="18" customFormat="1" x14ac:dyDescent="0.4">
      <c r="A4" s="16">
        <v>2</v>
      </c>
      <c r="B4" s="16" t="s">
        <v>154</v>
      </c>
      <c r="C4" s="16" t="s">
        <v>152</v>
      </c>
      <c r="D4" s="16" t="s">
        <v>153</v>
      </c>
      <c r="E4" s="31">
        <f>DATE(1986,9,9)</f>
        <v>31664</v>
      </c>
      <c r="F4" s="46" t="s">
        <v>51</v>
      </c>
      <c r="G4" s="16">
        <v>13</v>
      </c>
      <c r="H4" s="18">
        <v>45</v>
      </c>
    </row>
    <row r="5" spans="1:8" x14ac:dyDescent="0.4">
      <c r="A5" s="13">
        <v>3</v>
      </c>
      <c r="B5" s="13" t="s">
        <v>155</v>
      </c>
      <c r="C5" s="13" t="s">
        <v>152</v>
      </c>
      <c r="D5" s="13" t="s">
        <v>153</v>
      </c>
      <c r="E5" s="30">
        <f>DATE(1986,10,1)</f>
        <v>31686</v>
      </c>
      <c r="F5" s="19" t="s">
        <v>51</v>
      </c>
      <c r="G5" s="13">
        <v>14</v>
      </c>
      <c r="H5" s="15">
        <v>45</v>
      </c>
    </row>
    <row r="6" spans="1:8" s="18" customFormat="1" x14ac:dyDescent="0.4">
      <c r="A6" s="16">
        <v>4</v>
      </c>
      <c r="B6" s="16" t="s">
        <v>156</v>
      </c>
      <c r="C6" s="16" t="s">
        <v>152</v>
      </c>
      <c r="D6" s="16" t="s">
        <v>153</v>
      </c>
      <c r="E6" s="31">
        <f>DATE(1988,11,30)</f>
        <v>32477</v>
      </c>
      <c r="F6" s="46" t="s">
        <v>51</v>
      </c>
      <c r="G6" s="16">
        <v>18</v>
      </c>
      <c r="H6" s="18">
        <v>45</v>
      </c>
    </row>
    <row r="7" spans="1:8" x14ac:dyDescent="0.4">
      <c r="A7" s="13">
        <v>5</v>
      </c>
      <c r="B7" s="13" t="s">
        <v>157</v>
      </c>
      <c r="C7" s="13" t="s">
        <v>152</v>
      </c>
      <c r="D7" s="13" t="s">
        <v>153</v>
      </c>
      <c r="E7" s="30">
        <f>DATE(1988,12,3)</f>
        <v>32480</v>
      </c>
      <c r="F7" s="19" t="s">
        <v>51</v>
      </c>
      <c r="G7" s="13">
        <v>24</v>
      </c>
      <c r="H7" s="15">
        <v>45</v>
      </c>
    </row>
    <row r="8" spans="1:8" s="18" customFormat="1" x14ac:dyDescent="0.4">
      <c r="A8" s="16">
        <v>6</v>
      </c>
      <c r="B8" s="16" t="s">
        <v>158</v>
      </c>
      <c r="C8" s="16" t="s">
        <v>152</v>
      </c>
      <c r="D8" s="16" t="s">
        <v>153</v>
      </c>
      <c r="E8" s="31">
        <f>DATE(1988,12,6)</f>
        <v>32483</v>
      </c>
      <c r="F8" s="46" t="s">
        <v>51</v>
      </c>
      <c r="G8" s="16">
        <v>21</v>
      </c>
      <c r="H8" s="18">
        <v>45</v>
      </c>
    </row>
    <row r="9" spans="1:8" x14ac:dyDescent="0.4">
      <c r="A9" s="13">
        <v>7</v>
      </c>
      <c r="B9" s="13" t="s">
        <v>159</v>
      </c>
      <c r="C9" s="13" t="s">
        <v>152</v>
      </c>
      <c r="D9" s="13" t="s">
        <v>153</v>
      </c>
      <c r="E9" s="30">
        <f>DATE(1989,4,19)</f>
        <v>32617</v>
      </c>
      <c r="F9" s="19" t="s">
        <v>51</v>
      </c>
      <c r="G9" s="13">
        <v>28</v>
      </c>
      <c r="H9" s="15">
        <v>45</v>
      </c>
    </row>
    <row r="10" spans="1:8" s="41" customFormat="1" x14ac:dyDescent="0.4">
      <c r="A10" s="39">
        <v>8</v>
      </c>
      <c r="B10" s="39" t="s">
        <v>160</v>
      </c>
      <c r="C10" s="39"/>
      <c r="D10" s="39" t="s">
        <v>161</v>
      </c>
      <c r="E10" s="40" t="s">
        <v>50</v>
      </c>
      <c r="F10" s="40" t="s">
        <v>51</v>
      </c>
      <c r="G10" s="39">
        <v>12</v>
      </c>
      <c r="H10" s="41">
        <v>45</v>
      </c>
    </row>
    <row r="11" spans="1:8" x14ac:dyDescent="0.4">
      <c r="G11" s="13">
        <f>SUM(G3:G10)</f>
        <v>139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B159B-11B7-46B6-A30F-90318A5AD9A6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14.6640625" style="13" customWidth="1"/>
    <col min="3" max="3" width="11.21875" style="13" customWidth="1"/>
    <col min="4" max="4" width="26.77734375" style="13" customWidth="1"/>
    <col min="5" max="5" width="10" style="13" customWidth="1"/>
    <col min="6" max="6" width="8.109375" style="13" customWidth="1"/>
    <col min="7" max="7" width="4.6640625" style="13" customWidth="1"/>
    <col min="8" max="8" width="4.6640625" style="15" customWidth="1"/>
    <col min="9" max="16384" width="11.5546875" style="15"/>
  </cols>
  <sheetData>
    <row r="1" spans="1:8" s="21" customFormat="1" x14ac:dyDescent="0.4">
      <c r="A1" s="95" t="s">
        <v>162</v>
      </c>
      <c r="B1" s="95"/>
      <c r="C1" s="95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163</v>
      </c>
      <c r="E3" s="19" t="s">
        <v>50</v>
      </c>
      <c r="F3" s="19" t="s">
        <v>51</v>
      </c>
      <c r="G3" s="13">
        <v>9</v>
      </c>
      <c r="H3" s="15">
        <v>45</v>
      </c>
    </row>
    <row r="4" spans="1:8" x14ac:dyDescent="0.4">
      <c r="G4" s="13">
        <f>SUM(G3)</f>
        <v>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E171A-C461-4632-8FDF-4276791FE63A}">
  <dimension ref="A1:H4"/>
  <sheetViews>
    <sheetView workbookViewId="0">
      <selection activeCell="H29" sqref="H29"/>
    </sheetView>
  </sheetViews>
  <sheetFormatPr defaultColWidth="11.5546875" defaultRowHeight="12" x14ac:dyDescent="0.4"/>
  <cols>
    <col min="1" max="1" width="4.5546875" style="13" customWidth="1"/>
    <col min="2" max="2" width="57.77734375" style="13" customWidth="1"/>
    <col min="3" max="3" width="11.21875" style="13" customWidth="1"/>
    <col min="4" max="4" width="9.77734375" style="13" customWidth="1"/>
    <col min="5" max="5" width="14" style="13" customWidth="1"/>
    <col min="6" max="6" width="8" style="13" customWidth="1"/>
    <col min="7" max="7" width="4.664062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164</v>
      </c>
      <c r="B1" s="95"/>
      <c r="C1" s="95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165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166</v>
      </c>
      <c r="E3" s="30">
        <f>DATE(1985,12,31)</f>
        <v>31412</v>
      </c>
      <c r="F3" s="19" t="s">
        <v>51</v>
      </c>
      <c r="G3" s="13">
        <v>19</v>
      </c>
      <c r="H3" s="15">
        <v>45</v>
      </c>
    </row>
    <row r="4" spans="1:8" x14ac:dyDescent="0.4">
      <c r="G4" s="13">
        <f>SUM(G3)</f>
        <v>19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E8EE-71C5-453D-AAE8-B465FA7F0DD4}">
  <dimension ref="A1:H40"/>
  <sheetViews>
    <sheetView topLeftCell="A25" workbookViewId="0">
      <selection activeCell="G37" sqref="G37"/>
    </sheetView>
  </sheetViews>
  <sheetFormatPr defaultColWidth="11.5546875" defaultRowHeight="12" x14ac:dyDescent="0.4"/>
  <cols>
    <col min="1" max="1" width="4.5546875" style="13" customWidth="1"/>
    <col min="2" max="2" width="41.88671875" style="13" customWidth="1"/>
    <col min="3" max="3" width="12.109375" style="13" customWidth="1"/>
    <col min="4" max="4" width="22.6640625" style="13" customWidth="1"/>
    <col min="5" max="5" width="12.44140625" style="30" customWidth="1"/>
    <col min="6" max="6" width="8.5546875" style="19" customWidth="1"/>
    <col min="7" max="7" width="4.886718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167</v>
      </c>
      <c r="B1" s="95"/>
      <c r="C1" s="95"/>
      <c r="E1" s="34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5">
        <v>1</v>
      </c>
      <c r="B3" s="15" t="s">
        <v>147</v>
      </c>
      <c r="C3" s="15" t="s">
        <v>75</v>
      </c>
      <c r="D3" s="15"/>
      <c r="E3" s="24">
        <f>DATE(2003,1,20)</f>
        <v>37641</v>
      </c>
      <c r="F3" s="29" t="s">
        <v>51</v>
      </c>
      <c r="G3" s="15">
        <v>1</v>
      </c>
      <c r="H3" s="15">
        <v>45</v>
      </c>
    </row>
    <row r="4" spans="1:8" x14ac:dyDescent="0.4">
      <c r="A4" s="15"/>
      <c r="B4" s="15"/>
      <c r="C4" s="15"/>
      <c r="D4" s="15"/>
      <c r="E4" s="24">
        <f>DATE(2003,1,21)</f>
        <v>37642</v>
      </c>
      <c r="F4" s="29" t="s">
        <v>51</v>
      </c>
      <c r="G4" s="15">
        <v>1</v>
      </c>
      <c r="H4" s="15">
        <v>45</v>
      </c>
    </row>
    <row r="5" spans="1:8" x14ac:dyDescent="0.4">
      <c r="A5" s="15"/>
      <c r="B5" s="15"/>
      <c r="C5" s="15"/>
      <c r="D5" s="15"/>
      <c r="E5" s="24">
        <f>DATE(2003,1,22)</f>
        <v>37643</v>
      </c>
      <c r="F5" s="29" t="s">
        <v>51</v>
      </c>
      <c r="G5" s="15">
        <v>1</v>
      </c>
      <c r="H5" s="15">
        <v>45</v>
      </c>
    </row>
    <row r="6" spans="1:8" x14ac:dyDescent="0.4">
      <c r="A6" s="15"/>
      <c r="B6" s="15"/>
      <c r="C6" s="15"/>
      <c r="D6" s="15"/>
      <c r="E6" s="24">
        <f>DATE(2003,1,23)</f>
        <v>37644</v>
      </c>
      <c r="F6" s="29" t="s">
        <v>51</v>
      </c>
      <c r="G6" s="15">
        <v>12</v>
      </c>
      <c r="H6" s="15">
        <v>45</v>
      </c>
    </row>
    <row r="7" spans="1:8" x14ac:dyDescent="0.4">
      <c r="A7" s="15"/>
      <c r="B7" s="15"/>
      <c r="C7" s="15"/>
      <c r="D7" s="15"/>
      <c r="E7" s="24">
        <f>DATE(2003,1,24)</f>
        <v>37645</v>
      </c>
      <c r="F7" s="29" t="s">
        <v>51</v>
      </c>
      <c r="G7" s="15">
        <v>1</v>
      </c>
      <c r="H7" s="15">
        <v>45</v>
      </c>
    </row>
    <row r="8" spans="1:8" x14ac:dyDescent="0.4">
      <c r="A8" s="15"/>
      <c r="B8" s="15"/>
      <c r="C8" s="15"/>
      <c r="D8" s="15"/>
      <c r="E8" s="24">
        <f>DATE(2003,1,25)</f>
        <v>37646</v>
      </c>
      <c r="F8" s="29" t="s">
        <v>51</v>
      </c>
      <c r="G8" s="15">
        <v>6</v>
      </c>
      <c r="H8" s="15">
        <v>45</v>
      </c>
    </row>
    <row r="9" spans="1:8" x14ac:dyDescent="0.4">
      <c r="A9" s="15"/>
      <c r="B9" s="15"/>
      <c r="C9" s="15"/>
      <c r="D9" s="15"/>
      <c r="E9" s="24">
        <f>DATE(2003,1,26)</f>
        <v>37647</v>
      </c>
      <c r="F9" s="29" t="s">
        <v>51</v>
      </c>
      <c r="G9" s="15">
        <v>5</v>
      </c>
      <c r="H9" s="15">
        <v>45</v>
      </c>
    </row>
    <row r="10" spans="1:8" x14ac:dyDescent="0.4">
      <c r="A10" s="15"/>
      <c r="B10" s="15"/>
      <c r="C10" s="15"/>
      <c r="D10" s="15"/>
      <c r="E10" s="24">
        <f>DATE(2003,1,27)</f>
        <v>37648</v>
      </c>
      <c r="F10" s="29" t="s">
        <v>51</v>
      </c>
      <c r="G10" s="15">
        <v>1</v>
      </c>
      <c r="H10" s="15">
        <v>45</v>
      </c>
    </row>
    <row r="11" spans="1:8" x14ac:dyDescent="0.4">
      <c r="A11" s="15"/>
      <c r="B11" s="15"/>
      <c r="C11" s="15"/>
      <c r="D11" s="15"/>
      <c r="E11" s="24">
        <f>DATE(2003,1,28)</f>
        <v>37649</v>
      </c>
      <c r="F11" s="29" t="s">
        <v>51</v>
      </c>
      <c r="G11" s="15">
        <v>1</v>
      </c>
      <c r="H11" s="15">
        <v>45</v>
      </c>
    </row>
    <row r="12" spans="1:8" x14ac:dyDescent="0.4">
      <c r="A12" s="15"/>
      <c r="B12" s="15"/>
      <c r="C12" s="15"/>
      <c r="D12" s="15"/>
      <c r="E12" s="24">
        <f>DATE(2003,1,29)</f>
        <v>37650</v>
      </c>
      <c r="F12" s="29" t="s">
        <v>51</v>
      </c>
      <c r="G12" s="15">
        <v>1</v>
      </c>
      <c r="H12" s="15">
        <v>45</v>
      </c>
    </row>
    <row r="13" spans="1:8" x14ac:dyDescent="0.4">
      <c r="A13" s="15"/>
      <c r="B13" s="15"/>
      <c r="C13" s="15"/>
      <c r="D13" s="15"/>
      <c r="E13" s="24">
        <f>DATE(2003,1,30)</f>
        <v>37651</v>
      </c>
      <c r="F13" s="29" t="s">
        <v>51</v>
      </c>
      <c r="G13" s="15">
        <v>1</v>
      </c>
      <c r="H13" s="15">
        <v>45</v>
      </c>
    </row>
    <row r="14" spans="1:8" x14ac:dyDescent="0.4">
      <c r="A14" s="15"/>
      <c r="B14" s="15"/>
      <c r="C14" s="15"/>
      <c r="D14" s="15"/>
      <c r="E14" s="24">
        <f>DATE(2003,1,31)</f>
        <v>37652</v>
      </c>
      <c r="F14" s="29" t="s">
        <v>51</v>
      </c>
      <c r="G14" s="15">
        <v>1</v>
      </c>
      <c r="H14" s="15">
        <v>45</v>
      </c>
    </row>
    <row r="15" spans="1:8" s="18" customFormat="1" x14ac:dyDescent="0.4">
      <c r="A15" s="16">
        <v>2</v>
      </c>
      <c r="B15" s="16" t="s">
        <v>112</v>
      </c>
      <c r="C15" s="16" t="s">
        <v>113</v>
      </c>
      <c r="D15" s="16"/>
      <c r="E15" s="31">
        <f>DATE(2003,2,9)</f>
        <v>37661</v>
      </c>
      <c r="F15" s="46" t="s">
        <v>51</v>
      </c>
      <c r="G15" s="16">
        <v>10</v>
      </c>
      <c r="H15" s="18">
        <v>45</v>
      </c>
    </row>
    <row r="16" spans="1:8" s="18" customFormat="1" x14ac:dyDescent="0.4">
      <c r="A16" s="16"/>
      <c r="B16" s="16"/>
      <c r="C16" s="35"/>
      <c r="D16" s="35"/>
      <c r="E16" s="31">
        <f>DATE(2003,2,10)</f>
        <v>37662</v>
      </c>
      <c r="F16" s="46" t="s">
        <v>51</v>
      </c>
      <c r="G16" s="16">
        <v>8</v>
      </c>
      <c r="H16" s="18">
        <v>45</v>
      </c>
    </row>
    <row r="17" spans="1:8" s="18" customFormat="1" x14ac:dyDescent="0.4">
      <c r="A17" s="16"/>
      <c r="B17" s="16"/>
      <c r="C17" s="16"/>
      <c r="D17" s="16"/>
      <c r="E17" s="31">
        <f>DATE(2003,2,16)</f>
        <v>37668</v>
      </c>
      <c r="F17" s="46" t="s">
        <v>51</v>
      </c>
      <c r="G17" s="16">
        <v>1</v>
      </c>
      <c r="H17" s="18">
        <v>45</v>
      </c>
    </row>
    <row r="18" spans="1:8" s="18" customFormat="1" x14ac:dyDescent="0.4">
      <c r="A18" s="16"/>
      <c r="B18" s="16"/>
      <c r="C18" s="16"/>
      <c r="D18" s="16"/>
      <c r="E18" s="31">
        <f>DATE(2003,2,17)</f>
        <v>37669</v>
      </c>
      <c r="F18" s="46" t="s">
        <v>51</v>
      </c>
      <c r="G18" s="16">
        <v>14</v>
      </c>
      <c r="H18" s="18">
        <v>45</v>
      </c>
    </row>
    <row r="19" spans="1:8" s="18" customFormat="1" x14ac:dyDescent="0.4">
      <c r="A19" s="16"/>
      <c r="B19" s="16"/>
      <c r="C19" s="16"/>
      <c r="D19" s="16"/>
      <c r="E19" s="31">
        <f>DATE(2003,2,18)</f>
        <v>37670</v>
      </c>
      <c r="F19" s="46" t="s">
        <v>51</v>
      </c>
      <c r="G19" s="16">
        <v>1</v>
      </c>
      <c r="H19" s="18">
        <v>45</v>
      </c>
    </row>
    <row r="20" spans="1:8" s="18" customFormat="1" x14ac:dyDescent="0.4">
      <c r="A20" s="16"/>
      <c r="B20" s="16"/>
      <c r="C20" s="16"/>
      <c r="D20" s="16"/>
      <c r="E20" s="31">
        <f>DATE(2003,2,19)</f>
        <v>37671</v>
      </c>
      <c r="F20" s="46" t="s">
        <v>51</v>
      </c>
      <c r="G20" s="16">
        <v>1</v>
      </c>
      <c r="H20" s="18">
        <v>45</v>
      </c>
    </row>
    <row r="21" spans="1:8" s="18" customFormat="1" x14ac:dyDescent="0.4">
      <c r="A21" s="16"/>
      <c r="B21" s="16"/>
      <c r="C21" s="16"/>
      <c r="D21" s="16"/>
      <c r="E21" s="31">
        <f>DATE(2003,2,22)</f>
        <v>37674</v>
      </c>
      <c r="F21" s="46" t="s">
        <v>51</v>
      </c>
      <c r="G21" s="16">
        <v>8</v>
      </c>
      <c r="H21" s="18">
        <v>45</v>
      </c>
    </row>
    <row r="22" spans="1:8" s="18" customFormat="1" x14ac:dyDescent="0.4">
      <c r="A22" s="16"/>
      <c r="B22" s="16"/>
      <c r="C22" s="16"/>
      <c r="D22" s="16"/>
      <c r="E22" s="31">
        <f>DATE(2003,2,24)</f>
        <v>37676</v>
      </c>
      <c r="F22" s="46" t="s">
        <v>51</v>
      </c>
      <c r="G22" s="16">
        <v>1</v>
      </c>
      <c r="H22" s="18">
        <v>45</v>
      </c>
    </row>
    <row r="23" spans="1:8" s="18" customFormat="1" x14ac:dyDescent="0.4">
      <c r="A23" s="16"/>
      <c r="B23" s="16"/>
      <c r="C23" s="16"/>
      <c r="D23" s="16"/>
      <c r="E23" s="31">
        <f>DATE(2003,2,25)</f>
        <v>37677</v>
      </c>
      <c r="F23" s="46" t="s">
        <v>51</v>
      </c>
      <c r="G23" s="16">
        <v>16</v>
      </c>
      <c r="H23" s="18">
        <v>45</v>
      </c>
    </row>
    <row r="24" spans="1:8" s="18" customFormat="1" x14ac:dyDescent="0.4">
      <c r="A24" s="16"/>
      <c r="B24" s="16"/>
      <c r="C24" s="16"/>
      <c r="D24" s="16"/>
      <c r="E24" s="31">
        <f>DATE(2003,2,26)</f>
        <v>37678</v>
      </c>
      <c r="F24" s="46" t="s">
        <v>51</v>
      </c>
      <c r="G24" s="16">
        <v>1</v>
      </c>
      <c r="H24" s="18">
        <v>45</v>
      </c>
    </row>
    <row r="25" spans="1:8" s="18" customFormat="1" x14ac:dyDescent="0.4">
      <c r="A25" s="16"/>
      <c r="B25" s="16"/>
      <c r="C25" s="16"/>
      <c r="D25" s="16"/>
      <c r="E25" s="31">
        <f>DATE(2003,2,27)</f>
        <v>37679</v>
      </c>
      <c r="F25" s="46" t="s">
        <v>51</v>
      </c>
      <c r="G25" s="16">
        <v>1</v>
      </c>
      <c r="H25" s="18">
        <v>45</v>
      </c>
    </row>
    <row r="26" spans="1:8" s="18" customFormat="1" x14ac:dyDescent="0.4">
      <c r="A26" s="16"/>
      <c r="B26" s="16"/>
      <c r="C26" s="16"/>
      <c r="D26" s="16"/>
      <c r="E26" s="31">
        <f>DATE(2003,2,28)</f>
        <v>37680</v>
      </c>
      <c r="F26" s="46" t="s">
        <v>51</v>
      </c>
      <c r="G26" s="16">
        <v>1</v>
      </c>
      <c r="H26" s="18">
        <v>45</v>
      </c>
    </row>
    <row r="27" spans="1:8" x14ac:dyDescent="0.4">
      <c r="A27" s="13">
        <v>3</v>
      </c>
      <c r="B27" s="13" t="s">
        <v>112</v>
      </c>
      <c r="C27" s="13" t="s">
        <v>113</v>
      </c>
      <c r="E27" s="24">
        <f>DATE(2003,3,1)</f>
        <v>37681</v>
      </c>
      <c r="F27" s="19" t="s">
        <v>51</v>
      </c>
      <c r="G27" s="13">
        <v>1</v>
      </c>
      <c r="H27" s="15">
        <v>45</v>
      </c>
    </row>
    <row r="28" spans="1:8" x14ac:dyDescent="0.4">
      <c r="E28" s="24">
        <f>DATE(2003,3,2)</f>
        <v>37682</v>
      </c>
      <c r="F28" s="19" t="s">
        <v>51</v>
      </c>
      <c r="G28" s="13">
        <v>3</v>
      </c>
      <c r="H28" s="15">
        <v>45</v>
      </c>
    </row>
    <row r="29" spans="1:8" x14ac:dyDescent="0.4">
      <c r="E29" s="24">
        <f>DATE(2003,3,3)</f>
        <v>37683</v>
      </c>
      <c r="F29" s="19" t="s">
        <v>51</v>
      </c>
      <c r="G29" s="13">
        <v>1</v>
      </c>
      <c r="H29" s="15">
        <v>45</v>
      </c>
    </row>
    <row r="30" spans="1:8" x14ac:dyDescent="0.4">
      <c r="E30" s="24">
        <f>DATE(2003,3,7)</f>
        <v>37687</v>
      </c>
      <c r="F30" s="19" t="s">
        <v>51</v>
      </c>
      <c r="G30" s="13">
        <v>4</v>
      </c>
      <c r="H30" s="15">
        <v>45</v>
      </c>
    </row>
    <row r="31" spans="1:8" x14ac:dyDescent="0.4">
      <c r="E31" s="24">
        <f>DATE(2003,3,8)</f>
        <v>37688</v>
      </c>
      <c r="F31" s="19" t="s">
        <v>51</v>
      </c>
      <c r="G31" s="13">
        <v>2</v>
      </c>
      <c r="H31" s="15">
        <v>45</v>
      </c>
    </row>
    <row r="32" spans="1:8" x14ac:dyDescent="0.4">
      <c r="E32" s="24">
        <f>DATE(2003,3,9)</f>
        <v>37689</v>
      </c>
      <c r="F32" s="19" t="s">
        <v>51</v>
      </c>
      <c r="G32" s="13">
        <v>1</v>
      </c>
      <c r="H32" s="15">
        <v>45</v>
      </c>
    </row>
    <row r="33" spans="1:8" x14ac:dyDescent="0.4">
      <c r="E33" s="24">
        <f>DATE(2003,3,10)</f>
        <v>37690</v>
      </c>
      <c r="F33" s="19" t="s">
        <v>51</v>
      </c>
      <c r="G33" s="13">
        <v>12</v>
      </c>
      <c r="H33" s="15">
        <v>45</v>
      </c>
    </row>
    <row r="34" spans="1:8" x14ac:dyDescent="0.4">
      <c r="E34" s="24">
        <f>DATE(2003,3,11)</f>
        <v>37691</v>
      </c>
      <c r="F34" s="19" t="s">
        <v>51</v>
      </c>
      <c r="G34" s="13">
        <v>2</v>
      </c>
      <c r="H34" s="15">
        <v>45</v>
      </c>
    </row>
    <row r="35" spans="1:8" x14ac:dyDescent="0.4">
      <c r="E35" s="24">
        <f>DATE(2003,3,13)</f>
        <v>37693</v>
      </c>
      <c r="F35" s="19" t="s">
        <v>51</v>
      </c>
      <c r="G35" s="13">
        <v>5</v>
      </c>
      <c r="H35" s="15">
        <v>45</v>
      </c>
    </row>
    <row r="36" spans="1:8" s="18" customFormat="1" x14ac:dyDescent="0.4">
      <c r="A36" s="16">
        <v>4</v>
      </c>
      <c r="B36" s="16" t="s">
        <v>168</v>
      </c>
      <c r="C36" s="16"/>
      <c r="D36" s="16"/>
      <c r="E36" s="25">
        <f>DATE(2004,2,2)</f>
        <v>38019</v>
      </c>
      <c r="F36" s="46" t="s">
        <v>87</v>
      </c>
      <c r="G36" s="16">
        <v>11</v>
      </c>
      <c r="H36" s="18">
        <v>45</v>
      </c>
    </row>
    <row r="37" spans="1:8" x14ac:dyDescent="0.4">
      <c r="E37" s="24"/>
      <c r="G37" s="13">
        <f>SUM(G3:G36)</f>
        <v>137</v>
      </c>
    </row>
    <row r="38" spans="1:8" x14ac:dyDescent="0.4">
      <c r="E38" s="24"/>
    </row>
    <row r="39" spans="1:8" x14ac:dyDescent="0.4">
      <c r="E39" s="24"/>
    </row>
    <row r="40" spans="1:8" x14ac:dyDescent="0.4">
      <c r="E40" s="24"/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79792-E962-4A8D-B6CD-10E42F3077A0}">
  <dimension ref="A1:H79"/>
  <sheetViews>
    <sheetView topLeftCell="A59" workbookViewId="0">
      <selection activeCell="G79" sqref="G79"/>
    </sheetView>
  </sheetViews>
  <sheetFormatPr defaultColWidth="11.5546875" defaultRowHeight="12" x14ac:dyDescent="0.4"/>
  <cols>
    <col min="1" max="1" width="3.77734375" style="13" customWidth="1"/>
    <col min="2" max="2" width="29.21875" style="13" customWidth="1"/>
    <col min="3" max="3" width="15.77734375" style="13" customWidth="1"/>
    <col min="4" max="4" width="22.5546875" style="13" customWidth="1"/>
    <col min="5" max="5" width="15.77734375" style="14" customWidth="1"/>
    <col min="6" max="6" width="8.6640625" style="19" customWidth="1"/>
    <col min="7" max="7" width="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169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140</v>
      </c>
      <c r="C3" s="13" t="s">
        <v>170</v>
      </c>
      <c r="D3" s="13" t="s">
        <v>171</v>
      </c>
      <c r="E3" s="14">
        <f>DATE(2005,1,14)</f>
        <v>38366</v>
      </c>
      <c r="F3" s="19" t="s">
        <v>51</v>
      </c>
      <c r="G3" s="13">
        <v>22</v>
      </c>
      <c r="H3" s="15">
        <v>45</v>
      </c>
    </row>
    <row r="4" spans="1:8" s="18" customFormat="1" x14ac:dyDescent="0.4">
      <c r="A4" s="16">
        <v>2</v>
      </c>
      <c r="B4" s="16" t="s">
        <v>172</v>
      </c>
      <c r="C4" s="16" t="s">
        <v>170</v>
      </c>
      <c r="D4" s="16" t="s">
        <v>173</v>
      </c>
      <c r="E4" s="17">
        <f>DATE(2005,3,20)</f>
        <v>38431</v>
      </c>
      <c r="F4" s="46" t="s">
        <v>51</v>
      </c>
      <c r="G4" s="16">
        <v>17</v>
      </c>
      <c r="H4" s="18">
        <v>45</v>
      </c>
    </row>
    <row r="5" spans="1:8" x14ac:dyDescent="0.4">
      <c r="A5" s="13">
        <v>3</v>
      </c>
      <c r="B5" s="13" t="s">
        <v>174</v>
      </c>
      <c r="E5" s="14" t="s">
        <v>175</v>
      </c>
      <c r="F5" s="19" t="s">
        <v>51</v>
      </c>
      <c r="G5" s="13">
        <v>1</v>
      </c>
      <c r="H5" s="15">
        <v>45</v>
      </c>
    </row>
    <row r="6" spans="1:8" x14ac:dyDescent="0.4">
      <c r="A6" s="15"/>
      <c r="B6" s="15" t="s">
        <v>115</v>
      </c>
      <c r="C6" s="15"/>
      <c r="D6" s="15"/>
      <c r="E6" s="24">
        <f>DATE(2004,9,27)</f>
        <v>38257</v>
      </c>
      <c r="F6" s="19" t="s">
        <v>51</v>
      </c>
      <c r="G6" s="15">
        <v>2</v>
      </c>
      <c r="H6" s="15">
        <v>45</v>
      </c>
    </row>
    <row r="7" spans="1:8" x14ac:dyDescent="0.4">
      <c r="A7" s="15"/>
      <c r="B7" s="15"/>
      <c r="C7" s="15"/>
      <c r="D7" s="15"/>
      <c r="E7" s="24">
        <f>DATE(2004,9,28)</f>
        <v>38258</v>
      </c>
      <c r="F7" s="19" t="s">
        <v>51</v>
      </c>
      <c r="G7" s="15">
        <v>3</v>
      </c>
      <c r="H7" s="15">
        <v>45</v>
      </c>
    </row>
    <row r="8" spans="1:8" x14ac:dyDescent="0.4">
      <c r="A8" s="15"/>
      <c r="B8" s="15"/>
      <c r="C8" s="15"/>
      <c r="D8" s="15"/>
      <c r="E8" s="24">
        <f>DATE(2004,9,29)</f>
        <v>38259</v>
      </c>
      <c r="F8" s="19" t="s">
        <v>51</v>
      </c>
      <c r="G8" s="15">
        <v>3</v>
      </c>
      <c r="H8" s="15">
        <v>45</v>
      </c>
    </row>
    <row r="9" spans="1:8" x14ac:dyDescent="0.4">
      <c r="A9" s="15"/>
      <c r="B9" s="15"/>
      <c r="C9" s="15"/>
      <c r="D9" s="15"/>
      <c r="E9" s="24">
        <f>DATE(2004,9,30)</f>
        <v>38260</v>
      </c>
      <c r="F9" s="19" t="s">
        <v>51</v>
      </c>
      <c r="G9" s="15">
        <v>3</v>
      </c>
      <c r="H9" s="15">
        <v>45</v>
      </c>
    </row>
    <row r="10" spans="1:8" s="18" customFormat="1" x14ac:dyDescent="0.4">
      <c r="A10" s="16">
        <v>4</v>
      </c>
      <c r="B10" s="16" t="s">
        <v>174</v>
      </c>
      <c r="C10" s="16"/>
      <c r="D10" s="16"/>
      <c r="E10" s="36" t="s">
        <v>176</v>
      </c>
      <c r="F10" s="46" t="s">
        <v>51</v>
      </c>
      <c r="G10" s="16">
        <v>1</v>
      </c>
      <c r="H10" s="18">
        <v>45</v>
      </c>
    </row>
    <row r="11" spans="1:8" s="18" customFormat="1" x14ac:dyDescent="0.4">
      <c r="A11" s="16"/>
      <c r="B11" s="16" t="s">
        <v>115</v>
      </c>
      <c r="C11" s="16"/>
      <c r="D11" s="16"/>
      <c r="E11" s="25">
        <f>DATE(2004,10,1)</f>
        <v>38261</v>
      </c>
      <c r="F11" s="46" t="s">
        <v>51</v>
      </c>
      <c r="G11" s="16">
        <v>1</v>
      </c>
      <c r="H11" s="18">
        <v>45</v>
      </c>
    </row>
    <row r="12" spans="1:8" s="18" customFormat="1" x14ac:dyDescent="0.4">
      <c r="A12" s="16"/>
      <c r="B12" s="35"/>
      <c r="C12" s="16"/>
      <c r="D12" s="16"/>
      <c r="E12" s="25">
        <f>DATE(2004,10,2)</f>
        <v>38262</v>
      </c>
      <c r="F12" s="46" t="s">
        <v>51</v>
      </c>
      <c r="G12" s="16">
        <v>1</v>
      </c>
      <c r="H12" s="18">
        <v>45</v>
      </c>
    </row>
    <row r="13" spans="1:8" s="18" customFormat="1" x14ac:dyDescent="0.4">
      <c r="A13" s="16"/>
      <c r="B13" s="16"/>
      <c r="C13" s="16"/>
      <c r="D13" s="16"/>
      <c r="E13" s="25">
        <f>DATE(2004,10,7)</f>
        <v>38267</v>
      </c>
      <c r="F13" s="46" t="s">
        <v>51</v>
      </c>
      <c r="G13" s="16">
        <v>2</v>
      </c>
      <c r="H13" s="18">
        <v>45</v>
      </c>
    </row>
    <row r="14" spans="1:8" s="18" customFormat="1" x14ac:dyDescent="0.4">
      <c r="A14" s="16"/>
      <c r="B14" s="16"/>
      <c r="C14" s="16"/>
      <c r="D14" s="16"/>
      <c r="E14" s="25">
        <f>DATE(2004,10,8)</f>
        <v>38268</v>
      </c>
      <c r="F14" s="46" t="s">
        <v>51</v>
      </c>
      <c r="G14" s="16">
        <v>1</v>
      </c>
      <c r="H14" s="18">
        <v>45</v>
      </c>
    </row>
    <row r="15" spans="1:8" s="18" customFormat="1" x14ac:dyDescent="0.4">
      <c r="A15" s="16"/>
      <c r="B15" s="16"/>
      <c r="C15" s="16"/>
      <c r="D15" s="16"/>
      <c r="E15" s="25">
        <f>DATE(2004,10,9)</f>
        <v>38269</v>
      </c>
      <c r="F15" s="46" t="s">
        <v>51</v>
      </c>
      <c r="G15" s="16">
        <v>1</v>
      </c>
      <c r="H15" s="18">
        <v>45</v>
      </c>
    </row>
    <row r="16" spans="1:8" s="18" customFormat="1" x14ac:dyDescent="0.4">
      <c r="A16" s="16"/>
      <c r="B16" s="16"/>
      <c r="C16" s="16"/>
      <c r="D16" s="16"/>
      <c r="E16" s="25">
        <f>DATE(2004,10,11)</f>
        <v>38271</v>
      </c>
      <c r="F16" s="46" t="s">
        <v>51</v>
      </c>
      <c r="G16" s="16">
        <v>1</v>
      </c>
      <c r="H16" s="18">
        <v>45</v>
      </c>
    </row>
    <row r="17" spans="1:8" s="18" customFormat="1" x14ac:dyDescent="0.4">
      <c r="A17" s="16"/>
      <c r="B17" s="16"/>
      <c r="C17" s="16"/>
      <c r="D17" s="16"/>
      <c r="E17" s="25">
        <f>DATE(2004,10,15)</f>
        <v>38275</v>
      </c>
      <c r="F17" s="46" t="s">
        <v>51</v>
      </c>
      <c r="G17" s="16">
        <v>2</v>
      </c>
      <c r="H17" s="18">
        <v>45</v>
      </c>
    </row>
    <row r="18" spans="1:8" s="18" customFormat="1" x14ac:dyDescent="0.4">
      <c r="A18" s="16"/>
      <c r="B18" s="16"/>
      <c r="C18" s="16"/>
      <c r="D18" s="16"/>
      <c r="E18" s="25">
        <f>DATE(2004,10,22)</f>
        <v>38282</v>
      </c>
      <c r="F18" s="46" t="s">
        <v>51</v>
      </c>
      <c r="G18" s="16">
        <v>4</v>
      </c>
      <c r="H18" s="18">
        <v>45</v>
      </c>
    </row>
    <row r="19" spans="1:8" s="18" customFormat="1" x14ac:dyDescent="0.4">
      <c r="A19" s="16"/>
      <c r="B19" s="16"/>
      <c r="C19" s="35"/>
      <c r="D19" s="35"/>
      <c r="E19" s="25">
        <f>DATE(2004,10,31)</f>
        <v>38291</v>
      </c>
      <c r="F19" s="46" t="s">
        <v>51</v>
      </c>
      <c r="G19" s="16">
        <v>1</v>
      </c>
      <c r="H19" s="18">
        <v>45</v>
      </c>
    </row>
    <row r="20" spans="1:8" x14ac:dyDescent="0.4">
      <c r="A20" s="13">
        <v>5</v>
      </c>
      <c r="B20" s="13" t="s">
        <v>174</v>
      </c>
      <c r="E20" s="26" t="s">
        <v>177</v>
      </c>
      <c r="F20" s="19" t="s">
        <v>51</v>
      </c>
      <c r="G20" s="13">
        <v>1</v>
      </c>
      <c r="H20" s="15">
        <v>45</v>
      </c>
    </row>
    <row r="21" spans="1:8" x14ac:dyDescent="0.4">
      <c r="A21" s="15"/>
      <c r="B21" s="15" t="s">
        <v>115</v>
      </c>
      <c r="C21" s="15"/>
      <c r="D21" s="15"/>
      <c r="E21" s="24">
        <f>DATE(2004,11,14)</f>
        <v>38305</v>
      </c>
      <c r="F21" s="29" t="s">
        <v>51</v>
      </c>
      <c r="G21" s="15">
        <v>1</v>
      </c>
      <c r="H21" s="15">
        <v>45</v>
      </c>
    </row>
    <row r="22" spans="1:8" s="18" customFormat="1" x14ac:dyDescent="0.4">
      <c r="A22" s="16">
        <v>6</v>
      </c>
      <c r="B22" s="18" t="s">
        <v>115</v>
      </c>
      <c r="C22" s="16"/>
      <c r="D22" s="16"/>
      <c r="E22" s="25">
        <f>DATE(2004,3,19)</f>
        <v>38065</v>
      </c>
      <c r="F22" s="46" t="s">
        <v>51</v>
      </c>
      <c r="G22" s="16">
        <v>1</v>
      </c>
      <c r="H22" s="18">
        <v>45</v>
      </c>
    </row>
    <row r="23" spans="1:8" s="18" customFormat="1" x14ac:dyDescent="0.4">
      <c r="E23" s="25">
        <f>DATE(2004,3,20)</f>
        <v>38066</v>
      </c>
      <c r="F23" s="33" t="s">
        <v>51</v>
      </c>
      <c r="G23" s="18">
        <v>6</v>
      </c>
      <c r="H23" s="18">
        <v>45</v>
      </c>
    </row>
    <row r="24" spans="1:8" x14ac:dyDescent="0.4">
      <c r="A24" s="13">
        <v>7</v>
      </c>
      <c r="B24" s="13" t="s">
        <v>174</v>
      </c>
      <c r="E24" s="26" t="s">
        <v>178</v>
      </c>
      <c r="F24" s="19" t="s">
        <v>51</v>
      </c>
      <c r="G24" s="13">
        <v>1</v>
      </c>
      <c r="H24" s="15">
        <v>45</v>
      </c>
    </row>
    <row r="25" spans="1:8" x14ac:dyDescent="0.4">
      <c r="A25" s="15"/>
      <c r="B25" s="15" t="s">
        <v>115</v>
      </c>
      <c r="C25" s="15"/>
      <c r="D25" s="15"/>
      <c r="E25" s="24">
        <f>DATE(2004,7,1)</f>
        <v>38169</v>
      </c>
      <c r="F25" s="29" t="s">
        <v>51</v>
      </c>
      <c r="G25" s="15">
        <v>1</v>
      </c>
      <c r="H25" s="15">
        <v>45</v>
      </c>
    </row>
    <row r="26" spans="1:8" x14ac:dyDescent="0.4">
      <c r="E26" s="24">
        <f>DATE(2004,7,2)</f>
        <v>38170</v>
      </c>
      <c r="F26" s="19" t="s">
        <v>51</v>
      </c>
      <c r="G26" s="13">
        <v>1</v>
      </c>
      <c r="H26" s="15">
        <v>45</v>
      </c>
    </row>
    <row r="27" spans="1:8" x14ac:dyDescent="0.4">
      <c r="E27" s="24">
        <f>DATE(2004,7,6)</f>
        <v>38174</v>
      </c>
      <c r="F27" s="19" t="s">
        <v>51</v>
      </c>
      <c r="G27" s="13">
        <v>1</v>
      </c>
      <c r="H27" s="15">
        <v>45</v>
      </c>
    </row>
    <row r="28" spans="1:8" x14ac:dyDescent="0.4">
      <c r="E28" s="24">
        <f>DATE(2004,7,9)</f>
        <v>38177</v>
      </c>
      <c r="F28" s="19" t="s">
        <v>51</v>
      </c>
      <c r="G28" s="13">
        <v>1</v>
      </c>
      <c r="H28" s="15">
        <v>45</v>
      </c>
    </row>
    <row r="29" spans="1:8" x14ac:dyDescent="0.4">
      <c r="E29" s="24">
        <f>DATE(2004,7,28)</f>
        <v>38196</v>
      </c>
      <c r="F29" s="19" t="s">
        <v>51</v>
      </c>
      <c r="G29" s="13">
        <v>1</v>
      </c>
      <c r="H29" s="15">
        <v>45</v>
      </c>
    </row>
    <row r="30" spans="1:8" x14ac:dyDescent="0.4">
      <c r="E30" s="24">
        <f>DATE(2004,7,29)</f>
        <v>38197</v>
      </c>
      <c r="F30" s="19" t="s">
        <v>51</v>
      </c>
      <c r="G30" s="13">
        <v>1</v>
      </c>
      <c r="H30" s="15">
        <v>45</v>
      </c>
    </row>
    <row r="31" spans="1:8" x14ac:dyDescent="0.4">
      <c r="E31" s="24">
        <f>DATE(2004,7,30)</f>
        <v>38198</v>
      </c>
      <c r="F31" s="19" t="s">
        <v>51</v>
      </c>
      <c r="G31" s="13">
        <v>2</v>
      </c>
      <c r="H31" s="15">
        <v>45</v>
      </c>
    </row>
    <row r="32" spans="1:8" x14ac:dyDescent="0.4">
      <c r="E32" s="24">
        <f>DATE(2004,7,31)</f>
        <v>38199</v>
      </c>
      <c r="F32" s="19" t="s">
        <v>51</v>
      </c>
      <c r="G32" s="13">
        <v>1</v>
      </c>
      <c r="H32" s="15">
        <v>45</v>
      </c>
    </row>
    <row r="33" spans="1:8" s="18" customFormat="1" x14ac:dyDescent="0.4">
      <c r="A33" s="16">
        <v>8</v>
      </c>
      <c r="B33" s="16" t="s">
        <v>174</v>
      </c>
      <c r="C33" s="16"/>
      <c r="D33" s="16"/>
      <c r="E33" s="36" t="s">
        <v>179</v>
      </c>
      <c r="F33" s="46" t="s">
        <v>51</v>
      </c>
      <c r="G33" s="16">
        <v>1</v>
      </c>
      <c r="H33" s="18">
        <v>45</v>
      </c>
    </row>
    <row r="34" spans="1:8" s="18" customFormat="1" x14ac:dyDescent="0.4">
      <c r="A34" s="16"/>
      <c r="B34" s="16" t="s">
        <v>115</v>
      </c>
      <c r="C34" s="16"/>
      <c r="D34" s="16"/>
      <c r="E34" s="17">
        <f>DATE(2005,8,1)</f>
        <v>38565</v>
      </c>
      <c r="F34" s="46" t="s">
        <v>51</v>
      </c>
      <c r="G34" s="16">
        <v>2</v>
      </c>
      <c r="H34" s="18">
        <v>45</v>
      </c>
    </row>
    <row r="35" spans="1:8" s="18" customFormat="1" x14ac:dyDescent="0.4">
      <c r="A35" s="16"/>
      <c r="B35" s="16"/>
      <c r="C35" s="16"/>
      <c r="D35" s="16"/>
      <c r="E35" s="17">
        <f>DATE(2005,8,11)</f>
        <v>38575</v>
      </c>
      <c r="F35" s="46" t="s">
        <v>51</v>
      </c>
      <c r="G35" s="16">
        <v>1</v>
      </c>
      <c r="H35" s="18">
        <v>45</v>
      </c>
    </row>
    <row r="36" spans="1:8" s="18" customFormat="1" x14ac:dyDescent="0.4">
      <c r="A36" s="16"/>
      <c r="B36" s="16"/>
      <c r="C36" s="16"/>
      <c r="D36" s="16"/>
      <c r="E36" s="17">
        <f>DATE(2005,8,13)</f>
        <v>38577</v>
      </c>
      <c r="F36" s="46" t="s">
        <v>51</v>
      </c>
      <c r="G36" s="16">
        <v>1</v>
      </c>
      <c r="H36" s="18">
        <v>45</v>
      </c>
    </row>
    <row r="37" spans="1:8" s="18" customFormat="1" x14ac:dyDescent="0.4">
      <c r="A37" s="16"/>
      <c r="B37" s="16"/>
      <c r="C37" s="16"/>
      <c r="D37" s="16"/>
      <c r="E37" s="17">
        <f>DATE(2005,8,24)</f>
        <v>38588</v>
      </c>
      <c r="F37" s="46" t="s">
        <v>51</v>
      </c>
      <c r="G37" s="16">
        <v>1</v>
      </c>
      <c r="H37" s="18">
        <v>45</v>
      </c>
    </row>
    <row r="38" spans="1:8" s="18" customFormat="1" x14ac:dyDescent="0.4">
      <c r="A38" s="16"/>
      <c r="B38" s="16"/>
      <c r="C38" s="16"/>
      <c r="D38" s="16"/>
      <c r="E38" s="17">
        <f>DATE(2005,8,25)</f>
        <v>38589</v>
      </c>
      <c r="F38" s="46" t="s">
        <v>51</v>
      </c>
      <c r="G38" s="16">
        <v>1</v>
      </c>
      <c r="H38" s="18">
        <v>45</v>
      </c>
    </row>
    <row r="39" spans="1:8" x14ac:dyDescent="0.4">
      <c r="A39" s="15">
        <v>9</v>
      </c>
      <c r="B39" s="15" t="s">
        <v>174</v>
      </c>
      <c r="C39" s="15"/>
      <c r="D39" s="15"/>
      <c r="E39" s="26" t="s">
        <v>180</v>
      </c>
      <c r="F39" s="29" t="s">
        <v>51</v>
      </c>
      <c r="G39" s="15">
        <v>1</v>
      </c>
      <c r="H39" s="15">
        <v>45</v>
      </c>
    </row>
    <row r="40" spans="1:8" x14ac:dyDescent="0.4">
      <c r="A40" s="15"/>
      <c r="B40" s="15" t="s">
        <v>115</v>
      </c>
      <c r="C40" s="15"/>
      <c r="D40" s="15"/>
      <c r="E40" s="24">
        <f>DATE(2005,10,1)</f>
        <v>38626</v>
      </c>
      <c r="F40" s="29" t="s">
        <v>51</v>
      </c>
      <c r="G40" s="15">
        <v>1</v>
      </c>
      <c r="H40" s="15">
        <v>45</v>
      </c>
    </row>
    <row r="41" spans="1:8" x14ac:dyDescent="0.4">
      <c r="A41" s="15"/>
      <c r="B41" s="15"/>
      <c r="C41" s="15"/>
      <c r="D41" s="15"/>
      <c r="E41" s="24">
        <f>DATE(2005,10,3)</f>
        <v>38628</v>
      </c>
      <c r="F41" s="29" t="s">
        <v>51</v>
      </c>
      <c r="G41" s="15">
        <v>2</v>
      </c>
      <c r="H41" s="15">
        <v>45</v>
      </c>
    </row>
    <row r="42" spans="1:8" x14ac:dyDescent="0.4">
      <c r="A42" s="15"/>
      <c r="B42" s="15"/>
      <c r="C42" s="15"/>
      <c r="D42" s="15"/>
      <c r="E42" s="24">
        <f>DATE(2005,10,31)</f>
        <v>38656</v>
      </c>
      <c r="F42" s="29" t="s">
        <v>51</v>
      </c>
      <c r="G42" s="15">
        <v>1</v>
      </c>
      <c r="H42" s="15">
        <v>45</v>
      </c>
    </row>
    <row r="43" spans="1:8" s="18" customFormat="1" x14ac:dyDescent="0.4">
      <c r="A43" s="16">
        <v>10</v>
      </c>
      <c r="B43" s="16" t="s">
        <v>115</v>
      </c>
      <c r="C43" s="16"/>
      <c r="D43" s="16"/>
      <c r="E43" s="25">
        <f>DATE(2005,11,7)</f>
        <v>38663</v>
      </c>
      <c r="F43" s="46" t="s">
        <v>51</v>
      </c>
      <c r="G43" s="16">
        <v>1</v>
      </c>
      <c r="H43" s="18">
        <v>45</v>
      </c>
    </row>
    <row r="44" spans="1:8" s="18" customFormat="1" x14ac:dyDescent="0.4">
      <c r="A44" s="16"/>
      <c r="B44" s="16"/>
      <c r="C44" s="16"/>
      <c r="D44" s="16"/>
      <c r="E44" s="25">
        <f>DATE(2005,11,9)</f>
        <v>38665</v>
      </c>
      <c r="F44" s="46" t="s">
        <v>51</v>
      </c>
      <c r="G44" s="16">
        <v>1</v>
      </c>
      <c r="H44" s="18">
        <v>45</v>
      </c>
    </row>
    <row r="45" spans="1:8" s="18" customFormat="1" x14ac:dyDescent="0.4">
      <c r="A45" s="16"/>
      <c r="B45" s="16"/>
      <c r="C45" s="16"/>
      <c r="D45" s="16"/>
      <c r="E45" s="25">
        <f>DATE(2005,11,13)</f>
        <v>38669</v>
      </c>
      <c r="F45" s="46" t="s">
        <v>51</v>
      </c>
      <c r="G45" s="16">
        <v>2</v>
      </c>
      <c r="H45" s="18">
        <v>45</v>
      </c>
    </row>
    <row r="46" spans="1:8" s="18" customFormat="1" x14ac:dyDescent="0.4">
      <c r="A46" s="16"/>
      <c r="B46" s="16"/>
      <c r="C46" s="16"/>
      <c r="D46" s="16"/>
      <c r="E46" s="25">
        <f>DATE(2005,11,14)</f>
        <v>38670</v>
      </c>
      <c r="F46" s="46" t="s">
        <v>51</v>
      </c>
      <c r="G46" s="16">
        <v>1</v>
      </c>
      <c r="H46" s="18">
        <v>45</v>
      </c>
    </row>
    <row r="47" spans="1:8" s="18" customFormat="1" x14ac:dyDescent="0.4">
      <c r="A47" s="16"/>
      <c r="B47" s="16"/>
      <c r="C47" s="16"/>
      <c r="D47" s="16"/>
      <c r="E47" s="25">
        <f>DATE(2005,11,16)</f>
        <v>38672</v>
      </c>
      <c r="F47" s="46" t="s">
        <v>51</v>
      </c>
      <c r="G47" s="16">
        <v>2</v>
      </c>
      <c r="H47" s="18">
        <v>45</v>
      </c>
    </row>
    <row r="48" spans="1:8" s="18" customFormat="1" x14ac:dyDescent="0.4">
      <c r="A48" s="16"/>
      <c r="B48" s="16"/>
      <c r="C48" s="16"/>
      <c r="D48" s="16"/>
      <c r="E48" s="25">
        <f>DATE(2005,11,17)</f>
        <v>38673</v>
      </c>
      <c r="F48" s="46" t="s">
        <v>51</v>
      </c>
      <c r="G48" s="16">
        <v>3</v>
      </c>
      <c r="H48" s="18">
        <v>45</v>
      </c>
    </row>
    <row r="49" spans="1:8" s="18" customFormat="1" x14ac:dyDescent="0.4">
      <c r="A49" s="16"/>
      <c r="B49" s="16"/>
      <c r="C49" s="16"/>
      <c r="D49" s="16"/>
      <c r="E49" s="25">
        <f>DATE(2005,11,21)</f>
        <v>38677</v>
      </c>
      <c r="F49" s="46" t="s">
        <v>51</v>
      </c>
      <c r="G49" s="16">
        <v>1</v>
      </c>
      <c r="H49" s="18">
        <v>45</v>
      </c>
    </row>
    <row r="50" spans="1:8" x14ac:dyDescent="0.4">
      <c r="A50" s="13">
        <v>11</v>
      </c>
      <c r="B50" s="13" t="s">
        <v>174</v>
      </c>
      <c r="E50" s="14" t="s">
        <v>181</v>
      </c>
      <c r="F50" s="19" t="s">
        <v>51</v>
      </c>
      <c r="G50" s="13">
        <v>1</v>
      </c>
      <c r="H50" s="15">
        <v>45</v>
      </c>
    </row>
    <row r="51" spans="1:8" x14ac:dyDescent="0.4">
      <c r="B51" s="13" t="s">
        <v>115</v>
      </c>
      <c r="E51" s="14">
        <f>DATE(2006,6,1)</f>
        <v>38869</v>
      </c>
      <c r="F51" s="19" t="s">
        <v>51</v>
      </c>
      <c r="G51" s="13">
        <v>1</v>
      </c>
      <c r="H51" s="15">
        <v>45</v>
      </c>
    </row>
    <row r="52" spans="1:8" x14ac:dyDescent="0.4">
      <c r="E52" s="14">
        <f>DATE(2006,6,8)</f>
        <v>38876</v>
      </c>
      <c r="F52" s="19" t="s">
        <v>51</v>
      </c>
      <c r="G52" s="13">
        <v>1</v>
      </c>
      <c r="H52" s="15">
        <v>45</v>
      </c>
    </row>
    <row r="53" spans="1:8" x14ac:dyDescent="0.4">
      <c r="E53" s="14">
        <f>DATE(2006,6,9)</f>
        <v>38877</v>
      </c>
      <c r="F53" s="19" t="s">
        <v>51</v>
      </c>
      <c r="G53" s="13">
        <v>1</v>
      </c>
      <c r="H53" s="15">
        <v>45</v>
      </c>
    </row>
    <row r="54" spans="1:8" x14ac:dyDescent="0.4">
      <c r="E54" s="14">
        <f>DATE(2006,6,11)</f>
        <v>38879</v>
      </c>
      <c r="F54" s="19" t="s">
        <v>51</v>
      </c>
      <c r="G54" s="13">
        <v>1</v>
      </c>
      <c r="H54" s="15">
        <v>45</v>
      </c>
    </row>
    <row r="55" spans="1:8" x14ac:dyDescent="0.4">
      <c r="E55" s="14">
        <f>DATE(2006,6,15)</f>
        <v>38883</v>
      </c>
      <c r="F55" s="19" t="s">
        <v>51</v>
      </c>
      <c r="G55" s="13">
        <v>3</v>
      </c>
      <c r="H55" s="15">
        <v>45</v>
      </c>
    </row>
    <row r="56" spans="1:8" x14ac:dyDescent="0.4">
      <c r="E56" s="14">
        <f>DATE(2006,6,16)</f>
        <v>38884</v>
      </c>
      <c r="F56" s="19" t="s">
        <v>51</v>
      </c>
      <c r="G56" s="13">
        <v>1</v>
      </c>
      <c r="H56" s="15">
        <v>45</v>
      </c>
    </row>
    <row r="57" spans="1:8" x14ac:dyDescent="0.4">
      <c r="E57" s="14">
        <f>DATE(2006,6,17)</f>
        <v>38885</v>
      </c>
      <c r="F57" s="19" t="s">
        <v>51</v>
      </c>
      <c r="G57" s="13">
        <v>2</v>
      </c>
      <c r="H57" s="15">
        <v>45</v>
      </c>
    </row>
    <row r="58" spans="1:8" x14ac:dyDescent="0.4">
      <c r="E58" s="14">
        <f>DATE(2006,6,18)</f>
        <v>38886</v>
      </c>
      <c r="F58" s="19" t="s">
        <v>51</v>
      </c>
      <c r="G58" s="13">
        <v>5</v>
      </c>
      <c r="H58" s="15">
        <v>45</v>
      </c>
    </row>
    <row r="59" spans="1:8" x14ac:dyDescent="0.4">
      <c r="E59" s="14">
        <f>DATE(2006,6,21)</f>
        <v>38889</v>
      </c>
      <c r="F59" s="19" t="s">
        <v>51</v>
      </c>
      <c r="G59" s="13">
        <v>3</v>
      </c>
      <c r="H59" s="15">
        <v>45</v>
      </c>
    </row>
    <row r="60" spans="1:8" x14ac:dyDescent="0.4">
      <c r="E60" s="14">
        <f>DATE(2006,6,24)</f>
        <v>38892</v>
      </c>
      <c r="F60" s="19" t="s">
        <v>51</v>
      </c>
      <c r="G60" s="13">
        <v>1</v>
      </c>
      <c r="H60" s="15">
        <v>45</v>
      </c>
    </row>
    <row r="61" spans="1:8" x14ac:dyDescent="0.4">
      <c r="E61" s="14">
        <f>DATE(2006,6,25)</f>
        <v>38893</v>
      </c>
      <c r="F61" s="19" t="s">
        <v>51</v>
      </c>
      <c r="G61" s="13">
        <v>4</v>
      </c>
      <c r="H61" s="15">
        <v>45</v>
      </c>
    </row>
    <row r="62" spans="1:8" x14ac:dyDescent="0.4">
      <c r="E62" s="14">
        <f>DATE(2006,6,26)</f>
        <v>38894</v>
      </c>
      <c r="F62" s="19" t="s">
        <v>51</v>
      </c>
      <c r="G62" s="13">
        <v>5</v>
      </c>
      <c r="H62" s="15">
        <v>45</v>
      </c>
    </row>
    <row r="63" spans="1:8" x14ac:dyDescent="0.4">
      <c r="E63" s="14">
        <f>DATE(2006,6,27)</f>
        <v>38895</v>
      </c>
      <c r="F63" s="19" t="s">
        <v>51</v>
      </c>
      <c r="G63" s="13">
        <v>4</v>
      </c>
      <c r="H63" s="15">
        <v>45</v>
      </c>
    </row>
    <row r="64" spans="1:8" x14ac:dyDescent="0.4">
      <c r="E64" s="14">
        <f>DATE(2006,6,28)</f>
        <v>38896</v>
      </c>
      <c r="F64" s="19" t="s">
        <v>51</v>
      </c>
      <c r="G64" s="13">
        <v>1</v>
      </c>
      <c r="H64" s="15">
        <v>45</v>
      </c>
    </row>
    <row r="65" spans="1:8" x14ac:dyDescent="0.4">
      <c r="E65" s="14">
        <f>DATE(2006,6,29)</f>
        <v>38897</v>
      </c>
      <c r="F65" s="19" t="s">
        <v>51</v>
      </c>
      <c r="G65" s="13">
        <v>1</v>
      </c>
      <c r="H65" s="15">
        <v>45</v>
      </c>
    </row>
    <row r="66" spans="1:8" x14ac:dyDescent="0.4">
      <c r="E66" s="14">
        <f>DATE(2006,6,30)</f>
        <v>38898</v>
      </c>
      <c r="F66" s="19" t="s">
        <v>51</v>
      </c>
      <c r="G66" s="13">
        <v>1</v>
      </c>
      <c r="H66" s="15">
        <v>45</v>
      </c>
    </row>
    <row r="67" spans="1:8" s="18" customFormat="1" x14ac:dyDescent="0.4">
      <c r="A67" s="16">
        <v>12</v>
      </c>
      <c r="B67" s="16" t="s">
        <v>174</v>
      </c>
      <c r="C67" s="16"/>
      <c r="D67" s="16"/>
      <c r="E67" s="17" t="s">
        <v>182</v>
      </c>
      <c r="F67" s="46" t="s">
        <v>51</v>
      </c>
      <c r="G67" s="16">
        <v>1</v>
      </c>
      <c r="H67" s="18">
        <v>45</v>
      </c>
    </row>
    <row r="68" spans="1:8" s="18" customFormat="1" x14ac:dyDescent="0.4">
      <c r="A68" s="16"/>
      <c r="B68" s="16" t="s">
        <v>115</v>
      </c>
      <c r="C68" s="16"/>
      <c r="D68" s="16"/>
      <c r="E68" s="17">
        <f>DATE(2006,7,1)</f>
        <v>38899</v>
      </c>
      <c r="F68" s="46" t="s">
        <v>51</v>
      </c>
      <c r="G68" s="16">
        <v>1</v>
      </c>
      <c r="H68" s="18">
        <v>45</v>
      </c>
    </row>
    <row r="69" spans="1:8" s="18" customFormat="1" x14ac:dyDescent="0.4">
      <c r="A69" s="16"/>
      <c r="B69" s="16"/>
      <c r="C69" s="16"/>
      <c r="D69" s="16"/>
      <c r="E69" s="17">
        <f>DATE(2006,7,2)</f>
        <v>38900</v>
      </c>
      <c r="F69" s="46" t="s">
        <v>51</v>
      </c>
      <c r="G69" s="16">
        <v>1</v>
      </c>
      <c r="H69" s="18">
        <v>45</v>
      </c>
    </row>
    <row r="70" spans="1:8" s="18" customFormat="1" x14ac:dyDescent="0.4">
      <c r="A70" s="16"/>
      <c r="B70" s="16"/>
      <c r="C70" s="16"/>
      <c r="D70" s="16"/>
      <c r="E70" s="17">
        <f>DATE(2006,7,4)</f>
        <v>38902</v>
      </c>
      <c r="F70" s="46" t="s">
        <v>51</v>
      </c>
      <c r="G70" s="16">
        <v>5</v>
      </c>
      <c r="H70" s="18">
        <v>45</v>
      </c>
    </row>
    <row r="71" spans="1:8" s="18" customFormat="1" x14ac:dyDescent="0.4">
      <c r="A71" s="16"/>
      <c r="B71" s="16"/>
      <c r="C71" s="16"/>
      <c r="D71" s="16"/>
      <c r="E71" s="17">
        <f>DATE(2006,7,5)</f>
        <v>38903</v>
      </c>
      <c r="F71" s="46" t="s">
        <v>51</v>
      </c>
      <c r="G71" s="16">
        <v>6</v>
      </c>
      <c r="H71" s="18">
        <v>45</v>
      </c>
    </row>
    <row r="72" spans="1:8" s="18" customFormat="1" x14ac:dyDescent="0.4">
      <c r="A72" s="16"/>
      <c r="B72" s="16"/>
      <c r="C72" s="16"/>
      <c r="D72" s="16"/>
      <c r="E72" s="17">
        <f>DATE(2006,7,6)</f>
        <v>38904</v>
      </c>
      <c r="F72" s="46" t="s">
        <v>51</v>
      </c>
      <c r="G72" s="16">
        <v>8</v>
      </c>
      <c r="H72" s="18">
        <v>45</v>
      </c>
    </row>
    <row r="73" spans="1:8" s="18" customFormat="1" x14ac:dyDescent="0.4">
      <c r="A73" s="16"/>
      <c r="B73" s="16"/>
      <c r="C73" s="16"/>
      <c r="D73" s="16"/>
      <c r="E73" s="17">
        <f>DATE(2006,7,7)</f>
        <v>38905</v>
      </c>
      <c r="F73" s="46" t="s">
        <v>51</v>
      </c>
      <c r="G73" s="16">
        <v>2</v>
      </c>
      <c r="H73" s="18">
        <v>45</v>
      </c>
    </row>
    <row r="74" spans="1:8" s="18" customFormat="1" x14ac:dyDescent="0.4">
      <c r="A74" s="16"/>
      <c r="B74" s="16"/>
      <c r="C74" s="16"/>
      <c r="D74" s="16"/>
      <c r="E74" s="17">
        <f>DATE(2006,7,8)</f>
        <v>38906</v>
      </c>
      <c r="F74" s="46" t="s">
        <v>51</v>
      </c>
      <c r="G74" s="16">
        <v>1</v>
      </c>
      <c r="H74" s="18">
        <v>45</v>
      </c>
    </row>
    <row r="75" spans="1:8" s="18" customFormat="1" x14ac:dyDescent="0.4">
      <c r="A75" s="16"/>
      <c r="B75" s="16"/>
      <c r="C75" s="16"/>
      <c r="D75" s="16"/>
      <c r="E75" s="17">
        <f>DATE(2006,7,12)</f>
        <v>38910</v>
      </c>
      <c r="F75" s="46" t="s">
        <v>51</v>
      </c>
      <c r="G75" s="16">
        <v>1</v>
      </c>
      <c r="H75" s="18">
        <v>45</v>
      </c>
    </row>
    <row r="76" spans="1:8" s="18" customFormat="1" x14ac:dyDescent="0.4">
      <c r="A76" s="16"/>
      <c r="B76" s="16"/>
      <c r="C76" s="16"/>
      <c r="D76" s="16"/>
      <c r="E76" s="17">
        <f>DATE(2006,7,14)</f>
        <v>38912</v>
      </c>
      <c r="F76" s="46" t="s">
        <v>51</v>
      </c>
      <c r="G76" s="16">
        <v>1</v>
      </c>
      <c r="H76" s="18">
        <v>45</v>
      </c>
    </row>
    <row r="77" spans="1:8" s="18" customFormat="1" x14ac:dyDescent="0.4">
      <c r="A77" s="16"/>
      <c r="B77" s="16"/>
      <c r="C77" s="16"/>
      <c r="D77" s="16"/>
      <c r="E77" s="17">
        <f>DATE(2006,7,15)</f>
        <v>38913</v>
      </c>
      <c r="F77" s="46" t="s">
        <v>51</v>
      </c>
      <c r="G77" s="16">
        <v>1</v>
      </c>
      <c r="H77" s="18">
        <v>45</v>
      </c>
    </row>
    <row r="78" spans="1:8" s="18" customFormat="1" x14ac:dyDescent="0.4">
      <c r="A78" s="16"/>
      <c r="B78" s="16"/>
      <c r="C78" s="16"/>
      <c r="D78" s="16"/>
      <c r="E78" s="17">
        <f>DATE(2006,7,16)</f>
        <v>38914</v>
      </c>
      <c r="F78" s="46" t="s">
        <v>51</v>
      </c>
      <c r="G78" s="16">
        <v>1</v>
      </c>
      <c r="H78" s="18">
        <v>45</v>
      </c>
    </row>
    <row r="79" spans="1:8" x14ac:dyDescent="0.4">
      <c r="G79" s="13">
        <f>SUM(G3:G78)</f>
        <v>173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6DD67-C369-45FF-832D-A99795471AE4}">
  <dimension ref="A1:H11"/>
  <sheetViews>
    <sheetView workbookViewId="0">
      <selection activeCell="G11" sqref="G11"/>
    </sheetView>
  </sheetViews>
  <sheetFormatPr defaultColWidth="11.5546875" defaultRowHeight="12" x14ac:dyDescent="0.4"/>
  <cols>
    <col min="1" max="1" width="3.21875" style="13" customWidth="1"/>
    <col min="2" max="2" width="34.33203125" style="13" customWidth="1"/>
    <col min="3" max="3" width="18.109375" style="13" customWidth="1"/>
    <col min="4" max="4" width="31.109375" style="13" customWidth="1"/>
    <col min="5" max="5" width="13.21875" style="30" customWidth="1"/>
    <col min="6" max="6" width="9.21875" style="19" customWidth="1"/>
    <col min="7" max="7" width="3.77734375" style="13" customWidth="1"/>
    <col min="8" max="8" width="4.109375" style="15" customWidth="1"/>
    <col min="9" max="16384" width="11.5546875" style="15"/>
  </cols>
  <sheetData>
    <row r="1" spans="1:8" s="21" customFormat="1" x14ac:dyDescent="0.4">
      <c r="A1" s="95" t="s">
        <v>183</v>
      </c>
      <c r="B1" s="95"/>
      <c r="C1" s="95"/>
      <c r="E1" s="34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184</v>
      </c>
      <c r="C3" s="13" t="s">
        <v>64</v>
      </c>
      <c r="D3" s="13" t="s">
        <v>185</v>
      </c>
      <c r="E3" s="30">
        <f>DATE(1993,7,24)</f>
        <v>34174</v>
      </c>
      <c r="F3" s="19" t="s">
        <v>51</v>
      </c>
      <c r="G3" s="13">
        <v>9</v>
      </c>
      <c r="H3" s="15">
        <v>48</v>
      </c>
    </row>
    <row r="4" spans="1:8" s="18" customFormat="1" x14ac:dyDescent="0.4">
      <c r="A4" s="16">
        <v>2</v>
      </c>
      <c r="B4" s="16" t="s">
        <v>186</v>
      </c>
      <c r="C4" s="16" t="s">
        <v>64</v>
      </c>
      <c r="D4" s="16" t="s">
        <v>185</v>
      </c>
      <c r="E4" s="31">
        <f>DATE(1994,5,23)</f>
        <v>34477</v>
      </c>
      <c r="F4" s="46" t="s">
        <v>51</v>
      </c>
      <c r="G4" s="16">
        <v>8</v>
      </c>
      <c r="H4" s="18">
        <v>48</v>
      </c>
    </row>
    <row r="5" spans="1:8" x14ac:dyDescent="0.4">
      <c r="A5" s="13">
        <v>3</v>
      </c>
      <c r="B5" s="13" t="s">
        <v>187</v>
      </c>
      <c r="C5" s="13" t="s">
        <v>64</v>
      </c>
      <c r="D5" s="13" t="s">
        <v>185</v>
      </c>
      <c r="E5" s="14" t="s">
        <v>50</v>
      </c>
      <c r="F5" s="19" t="s">
        <v>51</v>
      </c>
      <c r="G5" s="13">
        <v>6</v>
      </c>
      <c r="H5" s="15">
        <v>48</v>
      </c>
    </row>
    <row r="6" spans="1:8" s="18" customFormat="1" ht="24" x14ac:dyDescent="0.4">
      <c r="A6" s="16">
        <v>4</v>
      </c>
      <c r="B6" s="16" t="s">
        <v>188</v>
      </c>
      <c r="C6" s="16" t="s">
        <v>189</v>
      </c>
      <c r="D6" s="16" t="s">
        <v>185</v>
      </c>
      <c r="E6" s="31">
        <f>DATE(1995,8,31)</f>
        <v>34942</v>
      </c>
      <c r="F6" s="46" t="s">
        <v>51</v>
      </c>
      <c r="G6" s="16">
        <v>10</v>
      </c>
      <c r="H6" s="18">
        <v>48</v>
      </c>
    </row>
    <row r="7" spans="1:8" ht="24" x14ac:dyDescent="0.4">
      <c r="A7" s="13">
        <v>5</v>
      </c>
      <c r="B7" s="13" t="s">
        <v>190</v>
      </c>
      <c r="C7" s="13" t="s">
        <v>191</v>
      </c>
      <c r="D7" s="13" t="s">
        <v>185</v>
      </c>
      <c r="E7" s="14" t="s">
        <v>50</v>
      </c>
      <c r="F7" s="19" t="s">
        <v>51</v>
      </c>
      <c r="G7" s="13">
        <v>1</v>
      </c>
      <c r="H7" s="15">
        <v>48</v>
      </c>
    </row>
    <row r="8" spans="1:8" x14ac:dyDescent="0.4">
      <c r="A8" s="15"/>
      <c r="C8" s="15" t="s">
        <v>192</v>
      </c>
      <c r="D8" s="15"/>
      <c r="E8" s="24">
        <f>DATE(1995,11,13)</f>
        <v>35016</v>
      </c>
      <c r="F8" s="19" t="s">
        <v>51</v>
      </c>
      <c r="G8" s="15">
        <v>2</v>
      </c>
      <c r="H8" s="15">
        <v>48</v>
      </c>
    </row>
    <row r="9" spans="1:8" x14ac:dyDescent="0.4">
      <c r="A9" s="15"/>
      <c r="C9" s="15" t="s">
        <v>193</v>
      </c>
      <c r="D9" s="15"/>
      <c r="E9" s="24">
        <f>DATE(1995,3,14)</f>
        <v>34772</v>
      </c>
      <c r="F9" s="19" t="s">
        <v>51</v>
      </c>
      <c r="G9" s="15">
        <v>33</v>
      </c>
      <c r="H9" s="15">
        <v>48</v>
      </c>
    </row>
    <row r="10" spans="1:8" s="18" customFormat="1" x14ac:dyDescent="0.4">
      <c r="A10" s="16">
        <v>6</v>
      </c>
      <c r="B10" s="16" t="s">
        <v>194</v>
      </c>
      <c r="C10" s="16" t="s">
        <v>195</v>
      </c>
      <c r="D10" s="16"/>
      <c r="E10" s="31">
        <f>DATE(1994,4,11)</f>
        <v>34435</v>
      </c>
      <c r="F10" s="46" t="s">
        <v>51</v>
      </c>
      <c r="G10" s="16">
        <v>1</v>
      </c>
      <c r="H10" s="18">
        <v>48</v>
      </c>
    </row>
    <row r="11" spans="1:8" x14ac:dyDescent="0.4">
      <c r="G11" s="13">
        <f>SUM(G3:G10)</f>
        <v>70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813CE-0B11-4127-89BE-1847C16E4B7E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21875" style="13" customWidth="1"/>
    <col min="2" max="2" width="17.5546875" style="13" customWidth="1"/>
    <col min="3" max="3" width="18.109375" style="13" customWidth="1"/>
    <col min="4" max="4" width="20.5546875" style="13" customWidth="1"/>
    <col min="5" max="5" width="13.21875" style="30" customWidth="1"/>
    <col min="6" max="6" width="12" style="13" customWidth="1"/>
    <col min="7" max="7" width="3.77734375" style="13" customWidth="1"/>
    <col min="8" max="8" width="4.88671875" style="15" customWidth="1"/>
    <col min="9" max="16384" width="11.5546875" style="15"/>
  </cols>
  <sheetData>
    <row r="1" spans="1:8" s="21" customFormat="1" x14ac:dyDescent="0.4">
      <c r="A1" s="95" t="s">
        <v>196</v>
      </c>
      <c r="B1" s="95"/>
      <c r="C1" s="95"/>
      <c r="E1" s="34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197</v>
      </c>
      <c r="E3" s="30" t="s">
        <v>50</v>
      </c>
      <c r="F3" s="19" t="s">
        <v>198</v>
      </c>
      <c r="G3" s="13">
        <v>6</v>
      </c>
      <c r="H3" s="15">
        <v>48</v>
      </c>
    </row>
    <row r="4" spans="1:8" x14ac:dyDescent="0.4">
      <c r="G4" s="13">
        <f>SUM(G3)</f>
        <v>6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C0DB8-9290-4346-82C0-DD96B56800C3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21875" style="13" customWidth="1"/>
    <col min="2" max="2" width="16.109375" style="13" customWidth="1"/>
    <col min="3" max="3" width="18.109375" style="13" customWidth="1"/>
    <col min="4" max="4" width="23.44140625" style="13" customWidth="1"/>
    <col min="5" max="5" width="13.21875" style="30" customWidth="1"/>
    <col min="6" max="6" width="10.44140625" style="19" customWidth="1"/>
    <col min="7" max="7" width="4.6640625" style="13" customWidth="1"/>
    <col min="8" max="8" width="3.5546875" style="15" customWidth="1"/>
    <col min="9" max="16384" width="11.5546875" style="15"/>
  </cols>
  <sheetData>
    <row r="1" spans="1:8" s="21" customFormat="1" x14ac:dyDescent="0.4">
      <c r="A1" s="95" t="s">
        <v>199</v>
      </c>
      <c r="B1" s="95"/>
      <c r="C1" s="95"/>
      <c r="E1" s="34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200</v>
      </c>
      <c r="E3" s="14" t="s">
        <v>50</v>
      </c>
      <c r="F3" s="19" t="s">
        <v>201</v>
      </c>
      <c r="G3" s="13">
        <v>10</v>
      </c>
      <c r="H3" s="15">
        <v>48</v>
      </c>
    </row>
    <row r="4" spans="1:8" x14ac:dyDescent="0.4">
      <c r="G4" s="13">
        <f>SUM(G3)</f>
        <v>10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60670-B5FD-4A8B-B95E-1C853074F4E3}">
  <dimension ref="A1:H237"/>
  <sheetViews>
    <sheetView topLeftCell="B105" workbookViewId="0">
      <selection activeCell="G237" sqref="G237"/>
    </sheetView>
  </sheetViews>
  <sheetFormatPr defaultColWidth="11.5546875" defaultRowHeight="12" x14ac:dyDescent="0.4"/>
  <cols>
    <col min="1" max="1" width="3.44140625" style="13" customWidth="1"/>
    <col min="2" max="2" width="59.109375" style="13" customWidth="1"/>
    <col min="3" max="3" width="16.33203125" style="13" customWidth="1"/>
    <col min="4" max="4" width="15.21875" style="13" customWidth="1"/>
    <col min="5" max="5" width="21" style="14" customWidth="1"/>
    <col min="6" max="6" width="9.5546875" style="19" customWidth="1"/>
    <col min="7" max="7" width="3.88671875" style="13" customWidth="1"/>
    <col min="8" max="8" width="4.77734375" style="15" customWidth="1"/>
    <col min="9" max="16384" width="11.5546875" style="15"/>
  </cols>
  <sheetData>
    <row r="1" spans="1:8" s="21" customFormat="1" x14ac:dyDescent="0.4">
      <c r="A1" s="95" t="s">
        <v>202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203</v>
      </c>
      <c r="C3" s="13" t="s">
        <v>64</v>
      </c>
      <c r="D3" s="13" t="s">
        <v>204</v>
      </c>
      <c r="E3" s="14">
        <f>DATE(2001,6,6)</f>
        <v>37048</v>
      </c>
      <c r="F3" s="19" t="s">
        <v>51</v>
      </c>
      <c r="G3" s="13">
        <v>27</v>
      </c>
      <c r="H3" s="15">
        <v>49</v>
      </c>
    </row>
    <row r="4" spans="1:8" s="18" customFormat="1" x14ac:dyDescent="0.4">
      <c r="A4" s="16">
        <v>2</v>
      </c>
      <c r="B4" s="16" t="s">
        <v>205</v>
      </c>
      <c r="C4" s="16" t="s">
        <v>64</v>
      </c>
      <c r="D4" s="16" t="s">
        <v>204</v>
      </c>
      <c r="E4" s="17">
        <f>DATE(2002,3,12)</f>
        <v>37327</v>
      </c>
      <c r="F4" s="46" t="s">
        <v>51</v>
      </c>
      <c r="G4" s="16">
        <v>13</v>
      </c>
      <c r="H4" s="18">
        <v>49</v>
      </c>
    </row>
    <row r="5" spans="1:8" x14ac:dyDescent="0.4">
      <c r="A5" s="13">
        <v>3</v>
      </c>
      <c r="B5" s="13" t="s">
        <v>137</v>
      </c>
      <c r="C5" s="13" t="s">
        <v>170</v>
      </c>
      <c r="D5" s="13" t="s">
        <v>204</v>
      </c>
      <c r="E5" s="14">
        <f>DATE(2003,3,5)</f>
        <v>37685</v>
      </c>
      <c r="F5" s="19" t="s">
        <v>51</v>
      </c>
      <c r="G5" s="13">
        <v>23</v>
      </c>
      <c r="H5" s="15">
        <v>49</v>
      </c>
    </row>
    <row r="6" spans="1:8" s="18" customFormat="1" x14ac:dyDescent="0.4">
      <c r="A6" s="16">
        <v>4</v>
      </c>
      <c r="B6" s="16" t="s">
        <v>140</v>
      </c>
      <c r="C6" s="16" t="s">
        <v>170</v>
      </c>
      <c r="D6" s="16" t="s">
        <v>204</v>
      </c>
      <c r="E6" s="17" t="s">
        <v>50</v>
      </c>
      <c r="F6" s="46" t="s">
        <v>51</v>
      </c>
      <c r="G6" s="16">
        <v>9</v>
      </c>
      <c r="H6" s="18">
        <v>49</v>
      </c>
    </row>
    <row r="7" spans="1:8" x14ac:dyDescent="0.4">
      <c r="A7" s="13">
        <v>5</v>
      </c>
      <c r="B7" s="13" t="s">
        <v>172</v>
      </c>
      <c r="C7" s="13" t="s">
        <v>170</v>
      </c>
      <c r="D7" s="13" t="s">
        <v>204</v>
      </c>
      <c r="E7" s="14">
        <f>DATE(2005,2,23)</f>
        <v>38406</v>
      </c>
      <c r="F7" s="19" t="s">
        <v>51</v>
      </c>
      <c r="G7" s="13">
        <v>19</v>
      </c>
      <c r="H7" s="15">
        <v>49</v>
      </c>
    </row>
    <row r="8" spans="1:8" s="18" customFormat="1" x14ac:dyDescent="0.4">
      <c r="A8" s="16">
        <v>6</v>
      </c>
      <c r="B8" s="16" t="s">
        <v>206</v>
      </c>
      <c r="C8" s="16" t="s">
        <v>207</v>
      </c>
      <c r="D8" s="16" t="s">
        <v>204</v>
      </c>
      <c r="E8" s="17">
        <f>DATE(2006,5,30)</f>
        <v>38867</v>
      </c>
      <c r="F8" s="46" t="s">
        <v>51</v>
      </c>
      <c r="G8" s="16">
        <v>21</v>
      </c>
      <c r="H8" s="18">
        <v>49</v>
      </c>
    </row>
    <row r="9" spans="1:8" x14ac:dyDescent="0.4">
      <c r="A9" s="13">
        <v>7</v>
      </c>
      <c r="B9" s="15" t="s">
        <v>80</v>
      </c>
      <c r="C9" s="15" t="s">
        <v>113</v>
      </c>
      <c r="D9" s="15"/>
      <c r="E9" s="24">
        <f>DATE(2000,7,7)</f>
        <v>36714</v>
      </c>
      <c r="F9" s="29" t="s">
        <v>51</v>
      </c>
      <c r="G9" s="15">
        <v>1</v>
      </c>
      <c r="H9" s="15">
        <v>49</v>
      </c>
    </row>
    <row r="10" spans="1:8" x14ac:dyDescent="0.4">
      <c r="A10" s="15"/>
      <c r="B10" s="15"/>
      <c r="C10" s="15"/>
      <c r="D10" s="15"/>
      <c r="E10" s="24">
        <f>DATE(2000,7,8)</f>
        <v>36715</v>
      </c>
      <c r="F10" s="29" t="s">
        <v>51</v>
      </c>
      <c r="G10" s="15">
        <v>1</v>
      </c>
      <c r="H10" s="15">
        <v>49</v>
      </c>
    </row>
    <row r="11" spans="1:8" x14ac:dyDescent="0.4">
      <c r="A11" s="15"/>
      <c r="B11" s="15"/>
      <c r="C11" s="15"/>
      <c r="D11" s="15"/>
      <c r="E11" s="24">
        <f>DATE(2000,7,14)</f>
        <v>36721</v>
      </c>
      <c r="F11" s="29" t="s">
        <v>51</v>
      </c>
      <c r="G11" s="15">
        <v>1</v>
      </c>
      <c r="H11" s="15">
        <v>49</v>
      </c>
    </row>
    <row r="12" spans="1:8" s="18" customFormat="1" x14ac:dyDescent="0.4">
      <c r="A12" s="16">
        <v>8</v>
      </c>
      <c r="B12" s="16" t="s">
        <v>115</v>
      </c>
      <c r="C12" s="16" t="s">
        <v>113</v>
      </c>
      <c r="D12" s="16"/>
      <c r="E12" s="17">
        <f>DATE(2000,8,8)</f>
        <v>36746</v>
      </c>
      <c r="F12" s="46" t="s">
        <v>51</v>
      </c>
      <c r="G12" s="16">
        <v>1</v>
      </c>
      <c r="H12" s="18">
        <v>49</v>
      </c>
    </row>
    <row r="13" spans="1:8" s="18" customFormat="1" x14ac:dyDescent="0.4">
      <c r="A13" s="16"/>
      <c r="B13" s="16"/>
      <c r="C13" s="16"/>
      <c r="D13" s="16"/>
      <c r="E13" s="17">
        <f>DATE(2000,8,9)</f>
        <v>36747</v>
      </c>
      <c r="F13" s="46" t="s">
        <v>51</v>
      </c>
      <c r="G13" s="16">
        <v>1</v>
      </c>
      <c r="H13" s="18">
        <v>49</v>
      </c>
    </row>
    <row r="14" spans="1:8" s="18" customFormat="1" x14ac:dyDescent="0.4">
      <c r="A14" s="16"/>
      <c r="B14" s="16"/>
      <c r="C14" s="16"/>
      <c r="D14" s="16"/>
      <c r="E14" s="17">
        <f>DATE(2000,8,10)</f>
        <v>36748</v>
      </c>
      <c r="F14" s="46" t="s">
        <v>51</v>
      </c>
      <c r="G14" s="16">
        <v>1</v>
      </c>
      <c r="H14" s="18">
        <v>49</v>
      </c>
    </row>
    <row r="15" spans="1:8" s="18" customFormat="1" x14ac:dyDescent="0.4">
      <c r="A15" s="16"/>
      <c r="B15" s="16"/>
      <c r="C15" s="16"/>
      <c r="D15" s="16"/>
      <c r="E15" s="17">
        <f>DATE(2000,8,11)</f>
        <v>36749</v>
      </c>
      <c r="F15" s="46" t="s">
        <v>51</v>
      </c>
      <c r="G15" s="16">
        <v>1</v>
      </c>
      <c r="H15" s="18">
        <v>49</v>
      </c>
    </row>
    <row r="16" spans="1:8" s="18" customFormat="1" x14ac:dyDescent="0.4">
      <c r="A16" s="16"/>
      <c r="B16" s="16"/>
      <c r="C16" s="35"/>
      <c r="D16" s="35"/>
      <c r="E16" s="17">
        <f>DATE(2000,8,20)</f>
        <v>36758</v>
      </c>
      <c r="F16" s="46" t="s">
        <v>51</v>
      </c>
      <c r="G16" s="16">
        <v>1</v>
      </c>
      <c r="H16" s="18">
        <v>49</v>
      </c>
    </row>
    <row r="17" spans="1:8" s="18" customFormat="1" x14ac:dyDescent="0.4">
      <c r="A17" s="16"/>
      <c r="B17" s="16"/>
      <c r="C17" s="16"/>
      <c r="D17" s="16"/>
      <c r="E17" s="17">
        <f>DATE(2000,8,22)</f>
        <v>36760</v>
      </c>
      <c r="F17" s="46" t="s">
        <v>51</v>
      </c>
      <c r="G17" s="16">
        <v>2</v>
      </c>
      <c r="H17" s="18">
        <v>49</v>
      </c>
    </row>
    <row r="18" spans="1:8" s="18" customFormat="1" x14ac:dyDescent="0.4">
      <c r="A18" s="16"/>
      <c r="B18" s="16"/>
      <c r="C18" s="16"/>
      <c r="D18" s="16"/>
      <c r="E18" s="17">
        <f>DATE(2000,8,23)</f>
        <v>36761</v>
      </c>
      <c r="F18" s="46" t="s">
        <v>51</v>
      </c>
      <c r="G18" s="16">
        <v>1</v>
      </c>
      <c r="H18" s="18">
        <v>49</v>
      </c>
    </row>
    <row r="19" spans="1:8" s="18" customFormat="1" x14ac:dyDescent="0.4">
      <c r="A19" s="16"/>
      <c r="B19" s="16"/>
      <c r="C19" s="16"/>
      <c r="D19" s="16"/>
      <c r="E19" s="17">
        <f>DATE(2000,8,25)</f>
        <v>36763</v>
      </c>
      <c r="F19" s="46" t="s">
        <v>51</v>
      </c>
      <c r="G19" s="16">
        <v>1</v>
      </c>
      <c r="H19" s="18">
        <v>49</v>
      </c>
    </row>
    <row r="20" spans="1:8" x14ac:dyDescent="0.4">
      <c r="A20" s="15">
        <v>9</v>
      </c>
      <c r="B20" s="15" t="s">
        <v>115</v>
      </c>
      <c r="C20" s="15" t="s">
        <v>113</v>
      </c>
      <c r="D20" s="15"/>
      <c r="E20" s="24">
        <f>DATE(2000,9,13)</f>
        <v>36782</v>
      </c>
      <c r="F20" s="29" t="s">
        <v>51</v>
      </c>
      <c r="G20" s="15">
        <v>1</v>
      </c>
      <c r="H20" s="15">
        <v>49</v>
      </c>
    </row>
    <row r="21" spans="1:8" x14ac:dyDescent="0.4">
      <c r="E21" s="24">
        <f>DATE(2000,9,14)</f>
        <v>36783</v>
      </c>
      <c r="F21" s="29" t="s">
        <v>51</v>
      </c>
      <c r="G21" s="13">
        <v>1</v>
      </c>
      <c r="H21" s="15">
        <v>49</v>
      </c>
    </row>
    <row r="22" spans="1:8" x14ac:dyDescent="0.4">
      <c r="A22" s="15"/>
      <c r="B22" s="15"/>
      <c r="C22" s="15"/>
      <c r="D22" s="15"/>
      <c r="E22" s="24">
        <f>DATE(2000,9,15)</f>
        <v>36784</v>
      </c>
      <c r="F22" s="29" t="s">
        <v>51</v>
      </c>
      <c r="G22" s="15">
        <v>1</v>
      </c>
      <c r="H22" s="15">
        <v>49</v>
      </c>
    </row>
    <row r="23" spans="1:8" x14ac:dyDescent="0.4">
      <c r="E23" s="24">
        <f>DATE(2000,9,19)</f>
        <v>36788</v>
      </c>
      <c r="F23" s="29" t="s">
        <v>51</v>
      </c>
      <c r="G23" s="13">
        <v>1</v>
      </c>
      <c r="H23" s="15">
        <v>49</v>
      </c>
    </row>
    <row r="24" spans="1:8" x14ac:dyDescent="0.4">
      <c r="E24" s="24">
        <f>DATE(2000,9,22)</f>
        <v>36791</v>
      </c>
      <c r="F24" s="29" t="s">
        <v>51</v>
      </c>
      <c r="G24" s="13">
        <v>7</v>
      </c>
      <c r="H24" s="15">
        <v>49</v>
      </c>
    </row>
    <row r="25" spans="1:8" x14ac:dyDescent="0.4">
      <c r="E25" s="24">
        <f>DATE(2000,9,25)</f>
        <v>36794</v>
      </c>
      <c r="F25" s="29" t="s">
        <v>51</v>
      </c>
      <c r="G25" s="13">
        <v>1</v>
      </c>
      <c r="H25" s="15">
        <v>49</v>
      </c>
    </row>
    <row r="26" spans="1:8" s="18" customFormat="1" x14ac:dyDescent="0.4">
      <c r="A26" s="16">
        <v>10</v>
      </c>
      <c r="B26" s="16" t="s">
        <v>115</v>
      </c>
      <c r="C26" s="16" t="s">
        <v>113</v>
      </c>
      <c r="D26" s="16"/>
      <c r="E26" s="25">
        <f>DATE(2000,10,1)</f>
        <v>36800</v>
      </c>
      <c r="F26" s="46" t="s">
        <v>51</v>
      </c>
      <c r="G26" s="16">
        <v>1</v>
      </c>
      <c r="H26" s="18">
        <v>49</v>
      </c>
    </row>
    <row r="27" spans="1:8" s="18" customFormat="1" x14ac:dyDescent="0.4">
      <c r="A27" s="16"/>
      <c r="B27" s="16"/>
      <c r="C27" s="16"/>
      <c r="D27" s="16"/>
      <c r="E27" s="25">
        <f>DATE(2000,10,2)</f>
        <v>36801</v>
      </c>
      <c r="F27" s="46" t="s">
        <v>51</v>
      </c>
      <c r="G27" s="16">
        <v>3</v>
      </c>
      <c r="H27" s="18">
        <v>49</v>
      </c>
    </row>
    <row r="28" spans="1:8" s="18" customFormat="1" x14ac:dyDescent="0.4">
      <c r="A28" s="16"/>
      <c r="B28" s="16"/>
      <c r="C28" s="16"/>
      <c r="D28" s="16"/>
      <c r="E28" s="25">
        <f>DATE(2000,10,4)</f>
        <v>36803</v>
      </c>
      <c r="F28" s="46" t="s">
        <v>51</v>
      </c>
      <c r="G28" s="16">
        <v>1</v>
      </c>
      <c r="H28" s="18">
        <v>49</v>
      </c>
    </row>
    <row r="29" spans="1:8" s="18" customFormat="1" x14ac:dyDescent="0.4">
      <c r="A29" s="16"/>
      <c r="B29" s="16"/>
      <c r="C29" s="16"/>
      <c r="D29" s="16"/>
      <c r="E29" s="25">
        <f>DATE(2000,10,11)</f>
        <v>36810</v>
      </c>
      <c r="F29" s="46" t="s">
        <v>51</v>
      </c>
      <c r="G29" s="16">
        <v>1</v>
      </c>
      <c r="H29" s="18">
        <v>49</v>
      </c>
    </row>
    <row r="30" spans="1:8" s="18" customFormat="1" x14ac:dyDescent="0.4">
      <c r="A30" s="16"/>
      <c r="B30" s="16"/>
      <c r="C30" s="16"/>
      <c r="D30" s="16"/>
      <c r="E30" s="25">
        <f>DATE(2000,10,12)</f>
        <v>36811</v>
      </c>
      <c r="F30" s="46" t="s">
        <v>51</v>
      </c>
      <c r="G30" s="16">
        <v>2</v>
      </c>
      <c r="H30" s="18">
        <v>49</v>
      </c>
    </row>
    <row r="31" spans="1:8" s="18" customFormat="1" x14ac:dyDescent="0.4">
      <c r="A31" s="16"/>
      <c r="B31" s="16"/>
      <c r="C31" s="16"/>
      <c r="D31" s="16"/>
      <c r="E31" s="25">
        <f>DATE(2000,10,14)</f>
        <v>36813</v>
      </c>
      <c r="F31" s="46" t="s">
        <v>51</v>
      </c>
      <c r="G31" s="16">
        <v>1</v>
      </c>
      <c r="H31" s="18">
        <v>49</v>
      </c>
    </row>
    <row r="32" spans="1:8" s="18" customFormat="1" x14ac:dyDescent="0.4">
      <c r="A32" s="16"/>
      <c r="B32" s="16"/>
      <c r="C32" s="16"/>
      <c r="D32" s="16"/>
      <c r="E32" s="25">
        <f>DATE(2000,10,20)</f>
        <v>36819</v>
      </c>
      <c r="F32" s="46" t="s">
        <v>51</v>
      </c>
      <c r="G32" s="16">
        <v>6</v>
      </c>
      <c r="H32" s="18">
        <v>49</v>
      </c>
    </row>
    <row r="33" spans="1:8" s="18" customFormat="1" x14ac:dyDescent="0.4">
      <c r="A33" s="16"/>
      <c r="B33" s="16"/>
      <c r="C33" s="16"/>
      <c r="D33" s="16"/>
      <c r="E33" s="25">
        <f>DATE(2000,10,22)</f>
        <v>36821</v>
      </c>
      <c r="F33" s="46" t="s">
        <v>51</v>
      </c>
      <c r="G33" s="16">
        <v>1</v>
      </c>
      <c r="H33" s="18">
        <v>49</v>
      </c>
    </row>
    <row r="34" spans="1:8" s="18" customFormat="1" x14ac:dyDescent="0.4">
      <c r="A34" s="16"/>
      <c r="B34" s="16"/>
      <c r="C34" s="16"/>
      <c r="D34" s="16"/>
      <c r="E34" s="25">
        <f>DATE(2000,10,24)</f>
        <v>36823</v>
      </c>
      <c r="F34" s="46" t="s">
        <v>51</v>
      </c>
      <c r="G34" s="16">
        <v>1</v>
      </c>
      <c r="H34" s="18">
        <v>49</v>
      </c>
    </row>
    <row r="35" spans="1:8" s="18" customFormat="1" x14ac:dyDescent="0.4">
      <c r="A35" s="16"/>
      <c r="B35" s="16"/>
      <c r="C35" s="16"/>
      <c r="D35" s="16"/>
      <c r="E35" s="25">
        <f>DATE(2000,10,27)</f>
        <v>36826</v>
      </c>
      <c r="F35" s="46" t="s">
        <v>51</v>
      </c>
      <c r="G35" s="16">
        <v>1</v>
      </c>
      <c r="H35" s="18">
        <v>49</v>
      </c>
    </row>
    <row r="36" spans="1:8" s="18" customFormat="1" x14ac:dyDescent="0.4">
      <c r="A36" s="16"/>
      <c r="B36" s="16"/>
      <c r="C36" s="16"/>
      <c r="D36" s="16"/>
      <c r="E36" s="25">
        <f>DATE(2000,10,28)</f>
        <v>36827</v>
      </c>
      <c r="F36" s="46" t="s">
        <v>51</v>
      </c>
      <c r="G36" s="16">
        <v>1</v>
      </c>
      <c r="H36" s="18">
        <v>49</v>
      </c>
    </row>
    <row r="37" spans="1:8" s="18" customFormat="1" x14ac:dyDescent="0.4">
      <c r="A37" s="16"/>
      <c r="B37" s="16"/>
      <c r="C37" s="16"/>
      <c r="D37" s="16"/>
      <c r="E37" s="25">
        <f>DATE(2000,10,29)</f>
        <v>36828</v>
      </c>
      <c r="F37" s="46" t="s">
        <v>51</v>
      </c>
      <c r="G37" s="16">
        <v>12</v>
      </c>
      <c r="H37" s="18">
        <v>49</v>
      </c>
    </row>
    <row r="38" spans="1:8" s="18" customFormat="1" x14ac:dyDescent="0.4">
      <c r="A38" s="16"/>
      <c r="B38" s="16"/>
      <c r="C38" s="16"/>
      <c r="D38" s="16"/>
      <c r="E38" s="25">
        <f>DATE(2000,10,31)</f>
        <v>36830</v>
      </c>
      <c r="F38" s="46" t="s">
        <v>51</v>
      </c>
      <c r="G38" s="16">
        <v>1</v>
      </c>
      <c r="H38" s="18">
        <v>49</v>
      </c>
    </row>
    <row r="39" spans="1:8" x14ac:dyDescent="0.4">
      <c r="A39" s="13">
        <v>11</v>
      </c>
      <c r="B39" s="13" t="s">
        <v>76</v>
      </c>
      <c r="C39" s="13" t="s">
        <v>208</v>
      </c>
      <c r="E39" s="26" t="s">
        <v>209</v>
      </c>
      <c r="F39" s="19" t="s">
        <v>51</v>
      </c>
      <c r="G39" s="13">
        <v>1</v>
      </c>
      <c r="H39" s="15">
        <v>49</v>
      </c>
    </row>
    <row r="40" spans="1:8" x14ac:dyDescent="0.4">
      <c r="B40" s="13" t="s">
        <v>80</v>
      </c>
      <c r="C40" s="13" t="s">
        <v>113</v>
      </c>
      <c r="E40" s="24">
        <f>DATE(2000,11,1)</f>
        <v>36831</v>
      </c>
      <c r="F40" s="19" t="s">
        <v>51</v>
      </c>
      <c r="G40" s="13">
        <v>1</v>
      </c>
      <c r="H40" s="15">
        <v>49</v>
      </c>
    </row>
    <row r="41" spans="1:8" x14ac:dyDescent="0.4">
      <c r="E41" s="24">
        <f>DATE(2000,11,3)</f>
        <v>36833</v>
      </c>
      <c r="F41" s="19" t="s">
        <v>51</v>
      </c>
      <c r="G41" s="13">
        <v>1</v>
      </c>
      <c r="H41" s="15">
        <v>49</v>
      </c>
    </row>
    <row r="42" spans="1:8" x14ac:dyDescent="0.4">
      <c r="E42" s="24">
        <f>DATE(2000,11,8)</f>
        <v>36838</v>
      </c>
      <c r="F42" s="19" t="s">
        <v>51</v>
      </c>
      <c r="G42" s="13">
        <v>1</v>
      </c>
      <c r="H42" s="15">
        <v>49</v>
      </c>
    </row>
    <row r="43" spans="1:8" x14ac:dyDescent="0.4">
      <c r="E43" s="24">
        <f>DATE(2000,11,22)</f>
        <v>36852</v>
      </c>
      <c r="F43" s="19" t="s">
        <v>51</v>
      </c>
      <c r="G43" s="13">
        <v>1</v>
      </c>
      <c r="H43" s="15">
        <v>49</v>
      </c>
    </row>
    <row r="44" spans="1:8" s="18" customFormat="1" x14ac:dyDescent="0.4">
      <c r="A44" s="16">
        <v>12</v>
      </c>
      <c r="B44" s="16" t="s">
        <v>174</v>
      </c>
      <c r="C44" s="16" t="s">
        <v>208</v>
      </c>
      <c r="D44" s="16"/>
      <c r="E44" s="36" t="s">
        <v>210</v>
      </c>
      <c r="F44" s="46" t="s">
        <v>51</v>
      </c>
      <c r="G44" s="16">
        <v>1</v>
      </c>
      <c r="H44" s="18">
        <v>49</v>
      </c>
    </row>
    <row r="45" spans="1:8" s="18" customFormat="1" x14ac:dyDescent="0.4">
      <c r="A45" s="16"/>
      <c r="B45" s="16" t="s">
        <v>115</v>
      </c>
      <c r="C45" s="16" t="s">
        <v>113</v>
      </c>
      <c r="D45" s="16"/>
      <c r="E45" s="25">
        <f>DATE(2000,12,1)</f>
        <v>36861</v>
      </c>
      <c r="F45" s="46" t="s">
        <v>51</v>
      </c>
      <c r="G45" s="16">
        <v>1</v>
      </c>
      <c r="H45" s="18">
        <v>49</v>
      </c>
    </row>
    <row r="46" spans="1:8" s="18" customFormat="1" x14ac:dyDescent="0.4">
      <c r="A46" s="16"/>
      <c r="B46" s="16"/>
      <c r="C46" s="16"/>
      <c r="D46" s="16"/>
      <c r="E46" s="25">
        <f>DATE(2000,12,4)</f>
        <v>36864</v>
      </c>
      <c r="F46" s="46" t="s">
        <v>51</v>
      </c>
      <c r="G46" s="16">
        <v>1</v>
      </c>
      <c r="H46" s="18">
        <v>49</v>
      </c>
    </row>
    <row r="47" spans="1:8" s="18" customFormat="1" x14ac:dyDescent="0.4">
      <c r="A47" s="16"/>
      <c r="B47" s="16"/>
      <c r="C47" s="16"/>
      <c r="D47" s="16"/>
      <c r="E47" s="25">
        <f>DATE(2000,12,7)</f>
        <v>36867</v>
      </c>
      <c r="F47" s="46" t="s">
        <v>51</v>
      </c>
      <c r="G47" s="16">
        <v>6</v>
      </c>
      <c r="H47" s="18">
        <v>49</v>
      </c>
    </row>
    <row r="48" spans="1:8" s="18" customFormat="1" x14ac:dyDescent="0.4">
      <c r="A48" s="16"/>
      <c r="B48" s="16"/>
      <c r="C48" s="16"/>
      <c r="D48" s="16"/>
      <c r="E48" s="25">
        <f>DATE(2000,12,8)</f>
        <v>36868</v>
      </c>
      <c r="F48" s="46" t="s">
        <v>51</v>
      </c>
      <c r="G48" s="16">
        <v>3</v>
      </c>
      <c r="H48" s="18">
        <v>49</v>
      </c>
    </row>
    <row r="49" spans="1:8" s="18" customFormat="1" x14ac:dyDescent="0.4">
      <c r="A49" s="16"/>
      <c r="B49" s="16"/>
      <c r="C49" s="16"/>
      <c r="D49" s="16"/>
      <c r="E49" s="25">
        <f>DATE(2000,12,16)</f>
        <v>36876</v>
      </c>
      <c r="F49" s="46" t="s">
        <v>51</v>
      </c>
      <c r="G49" s="16">
        <v>1</v>
      </c>
      <c r="H49" s="18">
        <v>49</v>
      </c>
    </row>
    <row r="50" spans="1:8" s="18" customFormat="1" x14ac:dyDescent="0.4">
      <c r="A50" s="16"/>
      <c r="B50" s="16"/>
      <c r="C50" s="16"/>
      <c r="D50" s="16"/>
      <c r="E50" s="25">
        <f>DATE(2000,12,17)</f>
        <v>36877</v>
      </c>
      <c r="F50" s="46" t="s">
        <v>51</v>
      </c>
      <c r="G50" s="16">
        <v>1</v>
      </c>
      <c r="H50" s="18">
        <v>49</v>
      </c>
    </row>
    <row r="51" spans="1:8" s="18" customFormat="1" x14ac:dyDescent="0.4">
      <c r="A51" s="16"/>
      <c r="B51" s="16"/>
      <c r="C51" s="16"/>
      <c r="D51" s="16"/>
      <c r="E51" s="25">
        <f>DATE(2000,12,21)</f>
        <v>36881</v>
      </c>
      <c r="F51" s="46" t="s">
        <v>51</v>
      </c>
      <c r="G51" s="16">
        <v>1</v>
      </c>
      <c r="H51" s="18">
        <v>49</v>
      </c>
    </row>
    <row r="52" spans="1:8" s="18" customFormat="1" x14ac:dyDescent="0.4">
      <c r="A52" s="16"/>
      <c r="B52" s="16"/>
      <c r="C52" s="16"/>
      <c r="D52" s="16"/>
      <c r="E52" s="25">
        <f>DATE(2000,12,25)</f>
        <v>36885</v>
      </c>
      <c r="F52" s="46" t="s">
        <v>51</v>
      </c>
      <c r="G52" s="16">
        <v>1</v>
      </c>
      <c r="H52" s="18">
        <v>49</v>
      </c>
    </row>
    <row r="53" spans="1:8" x14ac:dyDescent="0.4">
      <c r="A53" s="13">
        <v>13</v>
      </c>
      <c r="B53" s="13" t="s">
        <v>174</v>
      </c>
      <c r="C53" s="13" t="s">
        <v>208</v>
      </c>
      <c r="E53" s="26" t="s">
        <v>211</v>
      </c>
      <c r="F53" s="19" t="s">
        <v>51</v>
      </c>
      <c r="G53" s="13">
        <v>1</v>
      </c>
      <c r="H53" s="15">
        <v>49</v>
      </c>
    </row>
    <row r="54" spans="1:8" x14ac:dyDescent="0.4">
      <c r="B54" s="13" t="s">
        <v>115</v>
      </c>
      <c r="C54" s="13" t="s">
        <v>113</v>
      </c>
      <c r="E54" s="24">
        <f>DATE(2001,1,1)</f>
        <v>36892</v>
      </c>
      <c r="F54" s="19" t="s">
        <v>51</v>
      </c>
      <c r="G54" s="13">
        <v>1</v>
      </c>
      <c r="H54" s="15">
        <v>49</v>
      </c>
    </row>
    <row r="55" spans="1:8" s="18" customFormat="1" x14ac:dyDescent="0.4">
      <c r="A55" s="16">
        <v>14</v>
      </c>
      <c r="B55" s="16" t="s">
        <v>174</v>
      </c>
      <c r="C55" s="16" t="s">
        <v>208</v>
      </c>
      <c r="D55" s="16"/>
      <c r="E55" s="36" t="s">
        <v>212</v>
      </c>
      <c r="F55" s="46" t="s">
        <v>51</v>
      </c>
      <c r="G55" s="16">
        <v>1</v>
      </c>
      <c r="H55" s="18">
        <v>49</v>
      </c>
    </row>
    <row r="56" spans="1:8" s="18" customFormat="1" x14ac:dyDescent="0.4">
      <c r="A56" s="16"/>
      <c r="B56" s="16" t="s">
        <v>115</v>
      </c>
      <c r="C56" s="16" t="s">
        <v>113</v>
      </c>
      <c r="D56" s="16"/>
      <c r="E56" s="25">
        <f>DATE(2001,2,4)</f>
        <v>36926</v>
      </c>
      <c r="F56" s="46" t="s">
        <v>51</v>
      </c>
      <c r="G56" s="16">
        <v>1</v>
      </c>
      <c r="H56" s="18">
        <v>49</v>
      </c>
    </row>
    <row r="57" spans="1:8" s="18" customFormat="1" x14ac:dyDescent="0.4">
      <c r="A57" s="16"/>
      <c r="B57" s="16"/>
      <c r="C57" s="16"/>
      <c r="D57" s="16"/>
      <c r="E57" s="25">
        <f>DATE(2001,2,24)</f>
        <v>36946</v>
      </c>
      <c r="F57" s="46" t="s">
        <v>51</v>
      </c>
      <c r="G57" s="16">
        <v>1</v>
      </c>
      <c r="H57" s="18">
        <v>49</v>
      </c>
    </row>
    <row r="58" spans="1:8" s="18" customFormat="1" x14ac:dyDescent="0.4">
      <c r="A58" s="16"/>
      <c r="B58" s="16"/>
      <c r="C58" s="16"/>
      <c r="D58" s="16"/>
      <c r="E58" s="25">
        <f>DATE(2001,2,27)</f>
        <v>36949</v>
      </c>
      <c r="F58" s="46" t="s">
        <v>51</v>
      </c>
      <c r="G58" s="16">
        <v>1</v>
      </c>
      <c r="H58" s="18">
        <v>49</v>
      </c>
    </row>
    <row r="59" spans="1:8" s="18" customFormat="1" x14ac:dyDescent="0.4">
      <c r="A59" s="16"/>
      <c r="B59" s="16"/>
      <c r="C59" s="16"/>
      <c r="D59" s="16"/>
      <c r="E59" s="25">
        <f>DATE(2001,2,28)</f>
        <v>36950</v>
      </c>
      <c r="F59" s="46" t="s">
        <v>51</v>
      </c>
      <c r="G59" s="16">
        <v>1</v>
      </c>
      <c r="H59" s="18">
        <v>49</v>
      </c>
    </row>
    <row r="60" spans="1:8" x14ac:dyDescent="0.4">
      <c r="A60" s="13">
        <v>15</v>
      </c>
      <c r="B60" s="13" t="s">
        <v>115</v>
      </c>
      <c r="C60" s="13" t="s">
        <v>113</v>
      </c>
      <c r="E60" s="24">
        <f>DATE(2001,3,9)</f>
        <v>36959</v>
      </c>
      <c r="F60" s="19" t="s">
        <v>51</v>
      </c>
      <c r="G60" s="13">
        <v>1</v>
      </c>
      <c r="H60" s="15">
        <v>49</v>
      </c>
    </row>
    <row r="61" spans="1:8" x14ac:dyDescent="0.4">
      <c r="E61" s="24">
        <f>DATE(2001,3,13)</f>
        <v>36963</v>
      </c>
      <c r="F61" s="19" t="s">
        <v>51</v>
      </c>
      <c r="G61" s="13">
        <v>1</v>
      </c>
      <c r="H61" s="15">
        <v>49</v>
      </c>
    </row>
    <row r="62" spans="1:8" x14ac:dyDescent="0.4">
      <c r="E62" s="24">
        <f>DATE(2001,3,14)</f>
        <v>36964</v>
      </c>
      <c r="F62" s="19" t="s">
        <v>51</v>
      </c>
      <c r="G62" s="13">
        <v>1</v>
      </c>
      <c r="H62" s="15">
        <v>49</v>
      </c>
    </row>
    <row r="63" spans="1:8" x14ac:dyDescent="0.4">
      <c r="E63" s="24">
        <f>DATE(2001,3,20)</f>
        <v>36970</v>
      </c>
      <c r="F63" s="19" t="s">
        <v>51</v>
      </c>
      <c r="G63" s="13">
        <v>1</v>
      </c>
      <c r="H63" s="15">
        <v>49</v>
      </c>
    </row>
    <row r="64" spans="1:8" x14ac:dyDescent="0.4">
      <c r="E64" s="24">
        <f>DATE(2001,3,27)</f>
        <v>36977</v>
      </c>
      <c r="F64" s="19" t="s">
        <v>51</v>
      </c>
      <c r="G64" s="13">
        <v>1</v>
      </c>
      <c r="H64" s="15">
        <v>49</v>
      </c>
    </row>
    <row r="65" spans="1:8" s="18" customFormat="1" x14ac:dyDescent="0.4">
      <c r="A65" s="16">
        <v>16</v>
      </c>
      <c r="B65" s="16" t="s">
        <v>115</v>
      </c>
      <c r="C65" s="16" t="s">
        <v>113</v>
      </c>
      <c r="D65" s="16"/>
      <c r="E65" s="25">
        <f>DATE(2001,4,1)</f>
        <v>36982</v>
      </c>
      <c r="F65" s="46" t="s">
        <v>51</v>
      </c>
      <c r="G65" s="16">
        <v>1</v>
      </c>
      <c r="H65" s="18">
        <v>49</v>
      </c>
    </row>
    <row r="66" spans="1:8" s="18" customFormat="1" x14ac:dyDescent="0.4">
      <c r="A66" s="16"/>
      <c r="B66" s="16"/>
      <c r="C66" s="16"/>
      <c r="D66" s="16"/>
      <c r="E66" s="25">
        <f>DATE(2001,4,3)</f>
        <v>36984</v>
      </c>
      <c r="F66" s="46" t="s">
        <v>51</v>
      </c>
      <c r="G66" s="16">
        <v>1</v>
      </c>
      <c r="H66" s="18">
        <v>49</v>
      </c>
    </row>
    <row r="67" spans="1:8" s="18" customFormat="1" x14ac:dyDescent="0.4">
      <c r="A67" s="16"/>
      <c r="B67" s="16"/>
      <c r="C67" s="16"/>
      <c r="D67" s="16"/>
      <c r="E67" s="25">
        <f>DATE(2001,4,14)</f>
        <v>36995</v>
      </c>
      <c r="F67" s="46" t="s">
        <v>51</v>
      </c>
      <c r="G67" s="16">
        <v>2</v>
      </c>
      <c r="H67" s="18">
        <v>49</v>
      </c>
    </row>
    <row r="68" spans="1:8" s="18" customFormat="1" x14ac:dyDescent="0.4">
      <c r="A68" s="16"/>
      <c r="B68" s="16"/>
      <c r="C68" s="16"/>
      <c r="D68" s="16"/>
      <c r="E68" s="25">
        <f>DATE(2001,4,25)</f>
        <v>37006</v>
      </c>
      <c r="F68" s="46" t="s">
        <v>51</v>
      </c>
      <c r="G68" s="16">
        <v>1</v>
      </c>
      <c r="H68" s="18">
        <v>49</v>
      </c>
    </row>
    <row r="69" spans="1:8" s="18" customFormat="1" x14ac:dyDescent="0.4">
      <c r="A69" s="16"/>
      <c r="B69" s="16"/>
      <c r="C69" s="16"/>
      <c r="D69" s="16"/>
      <c r="E69" s="25">
        <f>DATE(2001,4,27)</f>
        <v>37008</v>
      </c>
      <c r="F69" s="46" t="s">
        <v>51</v>
      </c>
      <c r="G69" s="16">
        <v>1</v>
      </c>
      <c r="H69" s="18">
        <v>49</v>
      </c>
    </row>
    <row r="70" spans="1:8" x14ac:dyDescent="0.4">
      <c r="A70" s="13">
        <v>17</v>
      </c>
      <c r="B70" s="13" t="s">
        <v>174</v>
      </c>
      <c r="C70" s="13" t="s">
        <v>208</v>
      </c>
      <c r="E70" s="26" t="s">
        <v>213</v>
      </c>
      <c r="F70" s="19" t="s">
        <v>51</v>
      </c>
      <c r="G70" s="13">
        <v>1</v>
      </c>
      <c r="H70" s="15">
        <v>49</v>
      </c>
    </row>
    <row r="71" spans="1:8" x14ac:dyDescent="0.4">
      <c r="B71" s="13" t="s">
        <v>115</v>
      </c>
      <c r="C71" s="13" t="s">
        <v>113</v>
      </c>
      <c r="E71" s="24">
        <f t="shared" ref="E71" si="0">DATE(2001,5,1)</f>
        <v>37012</v>
      </c>
      <c r="F71" s="19" t="s">
        <v>51</v>
      </c>
      <c r="G71" s="13">
        <v>1</v>
      </c>
      <c r="H71" s="15">
        <v>49</v>
      </c>
    </row>
    <row r="72" spans="1:8" x14ac:dyDescent="0.4">
      <c r="E72" s="24">
        <f>DATE(2001,5,7)</f>
        <v>37018</v>
      </c>
      <c r="F72" s="19" t="s">
        <v>51</v>
      </c>
      <c r="G72" s="13">
        <v>1</v>
      </c>
      <c r="H72" s="15">
        <v>49</v>
      </c>
    </row>
    <row r="73" spans="1:8" x14ac:dyDescent="0.4">
      <c r="E73" s="24">
        <f>DATE(2001,5,8)</f>
        <v>37019</v>
      </c>
      <c r="F73" s="19" t="s">
        <v>51</v>
      </c>
      <c r="G73" s="13">
        <v>1</v>
      </c>
      <c r="H73" s="15">
        <v>49</v>
      </c>
    </row>
    <row r="74" spans="1:8" x14ac:dyDescent="0.4">
      <c r="E74" s="24">
        <f>DATE(2001,5,17)</f>
        <v>37028</v>
      </c>
      <c r="F74" s="19" t="s">
        <v>51</v>
      </c>
      <c r="G74" s="13">
        <v>1</v>
      </c>
      <c r="H74" s="15">
        <v>49</v>
      </c>
    </row>
    <row r="75" spans="1:8" x14ac:dyDescent="0.4">
      <c r="E75" s="24">
        <f>DATE(2001,5,23)</f>
        <v>37034</v>
      </c>
      <c r="F75" s="19" t="s">
        <v>51</v>
      </c>
      <c r="G75" s="13">
        <v>1</v>
      </c>
      <c r="H75" s="15">
        <v>49</v>
      </c>
    </row>
    <row r="76" spans="1:8" x14ac:dyDescent="0.4">
      <c r="E76" s="24">
        <f>DATE(2001,5,25)</f>
        <v>37036</v>
      </c>
      <c r="F76" s="19" t="s">
        <v>51</v>
      </c>
      <c r="G76" s="13">
        <v>2</v>
      </c>
      <c r="H76" s="15">
        <v>49</v>
      </c>
    </row>
    <row r="77" spans="1:8" x14ac:dyDescent="0.4">
      <c r="E77" s="24">
        <f>DATE(2001,5,28)</f>
        <v>37039</v>
      </c>
      <c r="F77" s="19" t="s">
        <v>51</v>
      </c>
      <c r="G77" s="13">
        <v>1</v>
      </c>
      <c r="H77" s="15">
        <v>49</v>
      </c>
    </row>
    <row r="78" spans="1:8" x14ac:dyDescent="0.4">
      <c r="E78" s="24">
        <f>DATE(2001,5,29)</f>
        <v>37040</v>
      </c>
      <c r="F78" s="19" t="s">
        <v>51</v>
      </c>
      <c r="G78" s="13">
        <v>1</v>
      </c>
      <c r="H78" s="15">
        <v>49</v>
      </c>
    </row>
    <row r="79" spans="1:8" s="18" customFormat="1" x14ac:dyDescent="0.4">
      <c r="A79" s="16">
        <v>18</v>
      </c>
      <c r="B79" s="16" t="s">
        <v>115</v>
      </c>
      <c r="C79" s="16" t="s">
        <v>113</v>
      </c>
      <c r="D79" s="16"/>
      <c r="E79" s="25">
        <f>DATE(2001,6,13)</f>
        <v>37055</v>
      </c>
      <c r="F79" s="46" t="s">
        <v>51</v>
      </c>
      <c r="G79" s="16">
        <v>8</v>
      </c>
      <c r="H79" s="18">
        <v>49</v>
      </c>
    </row>
    <row r="80" spans="1:8" x14ac:dyDescent="0.4">
      <c r="A80" s="13">
        <v>19</v>
      </c>
      <c r="B80" s="13" t="s">
        <v>115</v>
      </c>
      <c r="C80" s="13" t="s">
        <v>113</v>
      </c>
      <c r="E80" s="24">
        <f>DATE(2001,9,20)</f>
        <v>37154</v>
      </c>
      <c r="F80" s="19" t="s">
        <v>51</v>
      </c>
      <c r="G80" s="13">
        <v>1</v>
      </c>
      <c r="H80" s="15">
        <v>49</v>
      </c>
    </row>
    <row r="81" spans="1:8" x14ac:dyDescent="0.4">
      <c r="E81" s="24">
        <f>DATE(2001,9,22)</f>
        <v>37156</v>
      </c>
      <c r="F81" s="19" t="s">
        <v>51</v>
      </c>
      <c r="G81" s="13">
        <v>4</v>
      </c>
      <c r="H81" s="15">
        <v>49</v>
      </c>
    </row>
    <row r="82" spans="1:8" x14ac:dyDescent="0.4">
      <c r="E82" s="24">
        <f>DATE(2001,9,26)</f>
        <v>37160</v>
      </c>
      <c r="F82" s="19" t="s">
        <v>51</v>
      </c>
      <c r="G82" s="13">
        <v>1</v>
      </c>
      <c r="H82" s="15">
        <v>49</v>
      </c>
    </row>
    <row r="83" spans="1:8" x14ac:dyDescent="0.4">
      <c r="E83" s="24">
        <f>DATE(2001,9,27)</f>
        <v>37161</v>
      </c>
      <c r="F83" s="19" t="s">
        <v>51</v>
      </c>
      <c r="G83" s="13">
        <v>1</v>
      </c>
      <c r="H83" s="15">
        <v>49</v>
      </c>
    </row>
    <row r="84" spans="1:8" s="18" customFormat="1" x14ac:dyDescent="0.4">
      <c r="A84" s="16">
        <v>20</v>
      </c>
      <c r="B84" s="16" t="s">
        <v>115</v>
      </c>
      <c r="C84" s="16" t="s">
        <v>113</v>
      </c>
      <c r="D84" s="16"/>
      <c r="E84" s="25">
        <f>DATE(2001,10,3)</f>
        <v>37167</v>
      </c>
      <c r="F84" s="46" t="s">
        <v>51</v>
      </c>
      <c r="G84" s="16">
        <v>4</v>
      </c>
      <c r="H84" s="18">
        <v>49</v>
      </c>
    </row>
    <row r="85" spans="1:8" s="18" customFormat="1" x14ac:dyDescent="0.4">
      <c r="A85" s="16"/>
      <c r="B85" s="16"/>
      <c r="C85" s="16"/>
      <c r="D85" s="16"/>
      <c r="E85" s="25">
        <f>DATE(2001,10,4)</f>
        <v>37168</v>
      </c>
      <c r="F85" s="46" t="s">
        <v>51</v>
      </c>
      <c r="G85" s="16">
        <v>1</v>
      </c>
      <c r="H85" s="18">
        <v>49</v>
      </c>
    </row>
    <row r="86" spans="1:8" s="18" customFormat="1" x14ac:dyDescent="0.4">
      <c r="A86" s="16"/>
      <c r="B86" s="16"/>
      <c r="C86" s="16"/>
      <c r="D86" s="16"/>
      <c r="E86" s="25">
        <f>DATE(2001,10,9)</f>
        <v>37173</v>
      </c>
      <c r="F86" s="46" t="s">
        <v>51</v>
      </c>
      <c r="G86" s="16">
        <v>1</v>
      </c>
      <c r="H86" s="18">
        <v>49</v>
      </c>
    </row>
    <row r="87" spans="1:8" s="18" customFormat="1" x14ac:dyDescent="0.4">
      <c r="A87" s="16"/>
      <c r="B87" s="16"/>
      <c r="C87" s="16"/>
      <c r="D87" s="16"/>
      <c r="E87" s="25">
        <f>DATE(2001,10,13)</f>
        <v>37177</v>
      </c>
      <c r="F87" s="46" t="s">
        <v>51</v>
      </c>
      <c r="G87" s="16">
        <v>1</v>
      </c>
      <c r="H87" s="18">
        <v>49</v>
      </c>
    </row>
    <row r="88" spans="1:8" s="18" customFormat="1" x14ac:dyDescent="0.4">
      <c r="A88" s="16"/>
      <c r="B88" s="16"/>
      <c r="C88" s="16"/>
      <c r="D88" s="16"/>
      <c r="E88" s="25">
        <f>DATE(2001,10,19)</f>
        <v>37183</v>
      </c>
      <c r="F88" s="46" t="s">
        <v>51</v>
      </c>
      <c r="G88" s="16">
        <v>1</v>
      </c>
      <c r="H88" s="18">
        <v>49</v>
      </c>
    </row>
    <row r="89" spans="1:8" s="18" customFormat="1" x14ac:dyDescent="0.4">
      <c r="A89" s="16"/>
      <c r="B89" s="16"/>
      <c r="C89" s="16"/>
      <c r="D89" s="16"/>
      <c r="E89" s="25">
        <f>DATE(2001,10,24)</f>
        <v>37188</v>
      </c>
      <c r="F89" s="46" t="s">
        <v>51</v>
      </c>
      <c r="G89" s="16">
        <v>1</v>
      </c>
      <c r="H89" s="18">
        <v>49</v>
      </c>
    </row>
    <row r="90" spans="1:8" s="18" customFormat="1" x14ac:dyDescent="0.4">
      <c r="A90" s="16"/>
      <c r="B90" s="16"/>
      <c r="C90" s="16"/>
      <c r="D90" s="16"/>
      <c r="E90" s="25">
        <f>DATE(2001,10,29)</f>
        <v>37193</v>
      </c>
      <c r="F90" s="46" t="s">
        <v>51</v>
      </c>
      <c r="G90" s="16">
        <v>1</v>
      </c>
      <c r="H90" s="18">
        <v>49</v>
      </c>
    </row>
    <row r="91" spans="1:8" x14ac:dyDescent="0.4">
      <c r="A91" s="13">
        <v>21</v>
      </c>
      <c r="B91" s="13" t="s">
        <v>174</v>
      </c>
      <c r="C91" s="13" t="s">
        <v>208</v>
      </c>
      <c r="E91" s="26" t="s">
        <v>214</v>
      </c>
      <c r="F91" s="19" t="s">
        <v>51</v>
      </c>
      <c r="G91" s="13">
        <v>1</v>
      </c>
      <c r="H91" s="15">
        <v>49</v>
      </c>
    </row>
    <row r="92" spans="1:8" x14ac:dyDescent="0.4">
      <c r="B92" s="13" t="s">
        <v>115</v>
      </c>
      <c r="C92" s="13" t="s">
        <v>113</v>
      </c>
      <c r="E92" s="24">
        <f>DATE(2001,11,1)</f>
        <v>37196</v>
      </c>
      <c r="F92" s="19" t="s">
        <v>51</v>
      </c>
      <c r="G92" s="13">
        <v>1</v>
      </c>
      <c r="H92" s="15">
        <v>49</v>
      </c>
    </row>
    <row r="93" spans="1:8" x14ac:dyDescent="0.4">
      <c r="E93" s="24">
        <f>DATE(2001,11,18)</f>
        <v>37213</v>
      </c>
      <c r="F93" s="19" t="s">
        <v>51</v>
      </c>
      <c r="G93" s="13">
        <v>6</v>
      </c>
      <c r="H93" s="15">
        <v>49</v>
      </c>
    </row>
    <row r="94" spans="1:8" s="18" customFormat="1" x14ac:dyDescent="0.4">
      <c r="A94" s="16">
        <v>22</v>
      </c>
      <c r="B94" s="16" t="s">
        <v>115</v>
      </c>
      <c r="C94" s="16" t="s">
        <v>113</v>
      </c>
      <c r="D94" s="16"/>
      <c r="E94" s="25">
        <f>DATE(2002,1,14)</f>
        <v>37270</v>
      </c>
      <c r="F94" s="46" t="s">
        <v>51</v>
      </c>
      <c r="G94" s="16">
        <v>1</v>
      </c>
      <c r="H94" s="18">
        <v>49</v>
      </c>
    </row>
    <row r="95" spans="1:8" s="18" customFormat="1" x14ac:dyDescent="0.4">
      <c r="A95" s="16"/>
      <c r="B95" s="16"/>
      <c r="C95" s="16"/>
      <c r="D95" s="16"/>
      <c r="E95" s="25">
        <f>DATE(2002,1,20)</f>
        <v>37276</v>
      </c>
      <c r="F95" s="46" t="s">
        <v>51</v>
      </c>
      <c r="G95" s="16">
        <v>1</v>
      </c>
      <c r="H95" s="18">
        <v>49</v>
      </c>
    </row>
    <row r="96" spans="1:8" x14ac:dyDescent="0.4">
      <c r="A96" s="13">
        <v>23</v>
      </c>
      <c r="B96" s="13" t="s">
        <v>115</v>
      </c>
      <c r="C96" s="13" t="s">
        <v>113</v>
      </c>
      <c r="E96" s="24">
        <f>DATE(2002,2,3)</f>
        <v>37290</v>
      </c>
      <c r="F96" s="19" t="s">
        <v>51</v>
      </c>
      <c r="G96" s="13">
        <v>13</v>
      </c>
      <c r="H96" s="15">
        <v>49</v>
      </c>
    </row>
    <row r="97" spans="1:8" x14ac:dyDescent="0.4">
      <c r="E97" s="24">
        <f>DATE(2002,2,4)</f>
        <v>37291</v>
      </c>
      <c r="F97" s="19" t="s">
        <v>51</v>
      </c>
      <c r="G97" s="13">
        <v>1</v>
      </c>
      <c r="H97" s="15">
        <v>49</v>
      </c>
    </row>
    <row r="98" spans="1:8" x14ac:dyDescent="0.4">
      <c r="E98" s="24">
        <f>DATE(2002,2,9)</f>
        <v>37296</v>
      </c>
      <c r="F98" s="19" t="s">
        <v>51</v>
      </c>
      <c r="G98" s="13">
        <v>1</v>
      </c>
      <c r="H98" s="15">
        <v>49</v>
      </c>
    </row>
    <row r="99" spans="1:8" s="18" customFormat="1" x14ac:dyDescent="0.4">
      <c r="A99" s="16">
        <v>24</v>
      </c>
      <c r="B99" s="16" t="s">
        <v>115</v>
      </c>
      <c r="C99" s="16" t="s">
        <v>113</v>
      </c>
      <c r="D99" s="16"/>
      <c r="E99" s="25">
        <f>DATE(2002,3,2)</f>
        <v>37317</v>
      </c>
      <c r="F99" s="46" t="s">
        <v>51</v>
      </c>
      <c r="G99" s="16">
        <v>1</v>
      </c>
      <c r="H99" s="18">
        <v>49</v>
      </c>
    </row>
    <row r="100" spans="1:8" s="18" customFormat="1" x14ac:dyDescent="0.4">
      <c r="A100" s="16"/>
      <c r="B100" s="16"/>
      <c r="C100" s="16"/>
      <c r="D100" s="16"/>
      <c r="E100" s="25">
        <f>DATE(2002,3,12)</f>
        <v>37327</v>
      </c>
      <c r="F100" s="46" t="s">
        <v>51</v>
      </c>
      <c r="G100" s="16">
        <v>1</v>
      </c>
      <c r="H100" s="18">
        <v>49</v>
      </c>
    </row>
    <row r="101" spans="1:8" s="18" customFormat="1" x14ac:dyDescent="0.4">
      <c r="A101" s="16"/>
      <c r="B101" s="16"/>
      <c r="C101" s="16"/>
      <c r="D101" s="16"/>
      <c r="E101" s="25">
        <f>DATE(2002,3,19)</f>
        <v>37334</v>
      </c>
      <c r="F101" s="46" t="s">
        <v>51</v>
      </c>
      <c r="G101" s="16">
        <v>3</v>
      </c>
      <c r="H101" s="18">
        <v>49</v>
      </c>
    </row>
    <row r="102" spans="1:8" s="18" customFormat="1" x14ac:dyDescent="0.4">
      <c r="A102" s="16"/>
      <c r="B102" s="16"/>
      <c r="C102" s="16"/>
      <c r="D102" s="16"/>
      <c r="E102" s="25">
        <f>DATE(2002,3,22)</f>
        <v>37337</v>
      </c>
      <c r="F102" s="46" t="s">
        <v>51</v>
      </c>
      <c r="G102" s="16">
        <v>1</v>
      </c>
      <c r="H102" s="18">
        <v>49</v>
      </c>
    </row>
    <row r="103" spans="1:8" s="18" customFormat="1" x14ac:dyDescent="0.4">
      <c r="A103" s="16"/>
      <c r="B103" s="16"/>
      <c r="C103" s="16"/>
      <c r="D103" s="16"/>
      <c r="E103" s="25">
        <f>DATE(2002,3,27)</f>
        <v>37342</v>
      </c>
      <c r="F103" s="46" t="s">
        <v>51</v>
      </c>
      <c r="G103" s="16">
        <v>1</v>
      </c>
      <c r="H103" s="18">
        <v>49</v>
      </c>
    </row>
    <row r="104" spans="1:8" s="18" customFormat="1" x14ac:dyDescent="0.4">
      <c r="A104" s="16"/>
      <c r="B104" s="16"/>
      <c r="C104" s="16"/>
      <c r="D104" s="16"/>
      <c r="E104" s="25">
        <f>DATE(2002,3,28)</f>
        <v>37343</v>
      </c>
      <c r="F104" s="46" t="s">
        <v>51</v>
      </c>
      <c r="G104" s="16">
        <v>1</v>
      </c>
      <c r="H104" s="18">
        <v>49</v>
      </c>
    </row>
    <row r="105" spans="1:8" x14ac:dyDescent="0.4">
      <c r="A105" s="13">
        <v>25</v>
      </c>
      <c r="B105" s="13" t="s">
        <v>174</v>
      </c>
      <c r="C105" s="13" t="s">
        <v>208</v>
      </c>
      <c r="E105" s="26" t="s">
        <v>215</v>
      </c>
      <c r="F105" s="19" t="s">
        <v>51</v>
      </c>
      <c r="G105" s="13">
        <v>1</v>
      </c>
      <c r="H105" s="15">
        <v>49</v>
      </c>
    </row>
    <row r="106" spans="1:8" x14ac:dyDescent="0.4">
      <c r="B106" s="13" t="s">
        <v>115</v>
      </c>
      <c r="C106" s="13" t="s">
        <v>113</v>
      </c>
      <c r="E106" s="24">
        <f>DATE(2002,4,1)</f>
        <v>37347</v>
      </c>
      <c r="F106" s="19" t="s">
        <v>51</v>
      </c>
      <c r="G106" s="13">
        <v>1</v>
      </c>
      <c r="H106" s="15">
        <v>49</v>
      </c>
    </row>
    <row r="107" spans="1:8" x14ac:dyDescent="0.4">
      <c r="E107" s="24">
        <f>DATE(2002,4,6)</f>
        <v>37352</v>
      </c>
      <c r="F107" s="19" t="s">
        <v>51</v>
      </c>
      <c r="G107" s="13">
        <v>1</v>
      </c>
      <c r="H107" s="15">
        <v>49</v>
      </c>
    </row>
    <row r="108" spans="1:8" x14ac:dyDescent="0.4">
      <c r="E108" s="24">
        <f>DATE(2002,4,7)</f>
        <v>37353</v>
      </c>
      <c r="F108" s="19" t="s">
        <v>51</v>
      </c>
      <c r="G108" s="13">
        <v>1</v>
      </c>
      <c r="H108" s="15">
        <v>49</v>
      </c>
    </row>
    <row r="109" spans="1:8" x14ac:dyDescent="0.4">
      <c r="E109" s="24">
        <f>DATE(2002,4,8)</f>
        <v>37354</v>
      </c>
      <c r="F109" s="19" t="s">
        <v>51</v>
      </c>
      <c r="G109" s="13">
        <v>1</v>
      </c>
      <c r="H109" s="15">
        <v>49</v>
      </c>
    </row>
    <row r="110" spans="1:8" x14ac:dyDescent="0.4">
      <c r="E110" s="24">
        <f>DATE(2002,4,9)</f>
        <v>37355</v>
      </c>
      <c r="F110" s="19" t="s">
        <v>51</v>
      </c>
      <c r="G110" s="13">
        <v>1</v>
      </c>
      <c r="H110" s="15">
        <v>49</v>
      </c>
    </row>
    <row r="111" spans="1:8" x14ac:dyDescent="0.4">
      <c r="E111" s="24">
        <f>DATE(2002,4,10)</f>
        <v>37356</v>
      </c>
      <c r="F111" s="19" t="s">
        <v>51</v>
      </c>
      <c r="G111" s="13">
        <v>9</v>
      </c>
      <c r="H111" s="15">
        <v>49</v>
      </c>
    </row>
    <row r="112" spans="1:8" x14ac:dyDescent="0.4">
      <c r="E112" s="24">
        <f>DATE(2002,4,11)</f>
        <v>37357</v>
      </c>
      <c r="F112" s="19" t="s">
        <v>51</v>
      </c>
      <c r="G112" s="13">
        <v>1</v>
      </c>
      <c r="H112" s="15">
        <v>49</v>
      </c>
    </row>
    <row r="113" spans="1:8" x14ac:dyDescent="0.4">
      <c r="E113" s="24">
        <f>DATE(2002,4,30)</f>
        <v>37376</v>
      </c>
      <c r="F113" s="19" t="s">
        <v>51</v>
      </c>
      <c r="G113" s="13">
        <v>3</v>
      </c>
      <c r="H113" s="15">
        <v>49</v>
      </c>
    </row>
    <row r="114" spans="1:8" s="18" customFormat="1" x14ac:dyDescent="0.4">
      <c r="A114" s="16">
        <v>26</v>
      </c>
      <c r="B114" s="16" t="s">
        <v>174</v>
      </c>
      <c r="C114" s="16" t="s">
        <v>208</v>
      </c>
      <c r="D114" s="16"/>
      <c r="E114" s="36" t="s">
        <v>216</v>
      </c>
      <c r="F114" s="46" t="s">
        <v>51</v>
      </c>
      <c r="G114" s="16">
        <v>1</v>
      </c>
      <c r="H114" s="18">
        <v>49</v>
      </c>
    </row>
    <row r="115" spans="1:8" s="18" customFormat="1" x14ac:dyDescent="0.4">
      <c r="A115" s="16"/>
      <c r="B115" s="16" t="s">
        <v>115</v>
      </c>
      <c r="C115" s="16" t="s">
        <v>113</v>
      </c>
      <c r="D115" s="16"/>
      <c r="E115" s="25">
        <f>DATE(2002,5,1)</f>
        <v>37377</v>
      </c>
      <c r="F115" s="46" t="s">
        <v>51</v>
      </c>
      <c r="G115" s="16">
        <v>1</v>
      </c>
      <c r="H115" s="18">
        <v>49</v>
      </c>
    </row>
    <row r="116" spans="1:8" s="18" customFormat="1" x14ac:dyDescent="0.4">
      <c r="A116" s="16"/>
      <c r="B116" s="16"/>
      <c r="C116" s="16"/>
      <c r="D116" s="16"/>
      <c r="E116" s="25">
        <f>DATE(2002,5,4)</f>
        <v>37380</v>
      </c>
      <c r="F116" s="46" t="s">
        <v>51</v>
      </c>
      <c r="G116" s="16">
        <v>1</v>
      </c>
      <c r="H116" s="18">
        <v>49</v>
      </c>
    </row>
    <row r="117" spans="1:8" s="18" customFormat="1" x14ac:dyDescent="0.4">
      <c r="A117" s="16"/>
      <c r="B117" s="16"/>
      <c r="C117" s="16"/>
      <c r="D117" s="16"/>
      <c r="E117" s="25">
        <f>DATE(2002,5,8)</f>
        <v>37384</v>
      </c>
      <c r="F117" s="46" t="s">
        <v>51</v>
      </c>
      <c r="G117" s="16">
        <v>1</v>
      </c>
      <c r="H117" s="18">
        <v>49</v>
      </c>
    </row>
    <row r="118" spans="1:8" s="18" customFormat="1" x14ac:dyDescent="0.4">
      <c r="A118" s="16"/>
      <c r="B118" s="16"/>
      <c r="C118" s="16"/>
      <c r="D118" s="16"/>
      <c r="E118" s="25">
        <f>DATE(2002,5,11)</f>
        <v>37387</v>
      </c>
      <c r="F118" s="46" t="s">
        <v>51</v>
      </c>
      <c r="G118" s="16">
        <v>1</v>
      </c>
      <c r="H118" s="18">
        <v>49</v>
      </c>
    </row>
    <row r="119" spans="1:8" s="18" customFormat="1" x14ac:dyDescent="0.4">
      <c r="A119" s="16"/>
      <c r="B119" s="16"/>
      <c r="C119" s="16"/>
      <c r="D119" s="16"/>
      <c r="E119" s="25">
        <f>DATE(2002,5,15)</f>
        <v>37391</v>
      </c>
      <c r="F119" s="46" t="s">
        <v>51</v>
      </c>
      <c r="G119" s="16">
        <v>1</v>
      </c>
      <c r="H119" s="18">
        <v>49</v>
      </c>
    </row>
    <row r="120" spans="1:8" s="18" customFormat="1" x14ac:dyDescent="0.4">
      <c r="A120" s="16"/>
      <c r="B120" s="16"/>
      <c r="C120" s="16"/>
      <c r="D120" s="16"/>
      <c r="E120" s="25">
        <f>DATE(2002,5,29)</f>
        <v>37405</v>
      </c>
      <c r="F120" s="46" t="s">
        <v>51</v>
      </c>
      <c r="G120" s="16">
        <v>1</v>
      </c>
      <c r="H120" s="18">
        <v>49</v>
      </c>
    </row>
    <row r="121" spans="1:8" x14ac:dyDescent="0.4">
      <c r="A121" s="13">
        <v>27</v>
      </c>
      <c r="B121" s="13" t="s">
        <v>174</v>
      </c>
      <c r="C121" s="13" t="s">
        <v>208</v>
      </c>
      <c r="E121" s="26" t="s">
        <v>217</v>
      </c>
      <c r="F121" s="19" t="s">
        <v>51</v>
      </c>
      <c r="G121" s="13">
        <v>1</v>
      </c>
      <c r="H121" s="15">
        <v>49</v>
      </c>
    </row>
    <row r="122" spans="1:8" x14ac:dyDescent="0.4">
      <c r="B122" s="13" t="s">
        <v>115</v>
      </c>
      <c r="C122" s="13" t="s">
        <v>113</v>
      </c>
      <c r="E122" s="24">
        <f t="shared" ref="E122" si="1">DATE(2002,6,1)</f>
        <v>37408</v>
      </c>
      <c r="F122" s="19" t="s">
        <v>51</v>
      </c>
      <c r="G122" s="13">
        <v>1</v>
      </c>
      <c r="H122" s="15">
        <v>49</v>
      </c>
    </row>
    <row r="123" spans="1:8" x14ac:dyDescent="0.4">
      <c r="E123" s="24">
        <f>DATE(2002,6,11)</f>
        <v>37418</v>
      </c>
      <c r="F123" s="19" t="s">
        <v>51</v>
      </c>
      <c r="G123" s="13">
        <v>1</v>
      </c>
      <c r="H123" s="15">
        <v>49</v>
      </c>
    </row>
    <row r="124" spans="1:8" x14ac:dyDescent="0.4">
      <c r="E124" s="24">
        <f>DATE(2002,6,14)</f>
        <v>37421</v>
      </c>
      <c r="F124" s="19" t="s">
        <v>51</v>
      </c>
      <c r="G124" s="13">
        <v>1</v>
      </c>
      <c r="H124" s="15">
        <v>49</v>
      </c>
    </row>
    <row r="125" spans="1:8" x14ac:dyDescent="0.4">
      <c r="E125" s="24">
        <f>DATE(2002,6,18)</f>
        <v>37425</v>
      </c>
      <c r="F125" s="19" t="s">
        <v>51</v>
      </c>
      <c r="G125" s="13">
        <v>1</v>
      </c>
      <c r="H125" s="15">
        <v>49</v>
      </c>
    </row>
    <row r="126" spans="1:8" x14ac:dyDescent="0.4">
      <c r="E126" s="24">
        <f>DATE(2002,6,23)</f>
        <v>37430</v>
      </c>
      <c r="F126" s="19" t="s">
        <v>51</v>
      </c>
      <c r="G126" s="13">
        <v>1</v>
      </c>
      <c r="H126" s="15">
        <v>49</v>
      </c>
    </row>
    <row r="127" spans="1:8" x14ac:dyDescent="0.4">
      <c r="E127" s="24">
        <f>DATE(2002,6,25)</f>
        <v>37432</v>
      </c>
      <c r="F127" s="19" t="s">
        <v>51</v>
      </c>
      <c r="G127" s="13">
        <v>3</v>
      </c>
      <c r="H127" s="15">
        <v>49</v>
      </c>
    </row>
    <row r="128" spans="1:8" s="18" customFormat="1" x14ac:dyDescent="0.4">
      <c r="A128" s="16">
        <v>28</v>
      </c>
      <c r="B128" s="16" t="s">
        <v>115</v>
      </c>
      <c r="C128" s="16" t="s">
        <v>113</v>
      </c>
      <c r="D128" s="16"/>
      <c r="E128" s="25">
        <f>DATE(2002,8,13)</f>
        <v>37481</v>
      </c>
      <c r="F128" s="46" t="s">
        <v>51</v>
      </c>
      <c r="G128" s="16">
        <v>1</v>
      </c>
      <c r="H128" s="18">
        <v>49</v>
      </c>
    </row>
    <row r="129" spans="1:8" s="18" customFormat="1" x14ac:dyDescent="0.4">
      <c r="A129" s="16"/>
      <c r="B129" s="16"/>
      <c r="C129" s="16"/>
      <c r="D129" s="16"/>
      <c r="E129" s="25">
        <f>DATE(2002,8,16)</f>
        <v>37484</v>
      </c>
      <c r="F129" s="46" t="s">
        <v>51</v>
      </c>
      <c r="G129" s="16">
        <v>1</v>
      </c>
      <c r="H129" s="18">
        <v>49</v>
      </c>
    </row>
    <row r="130" spans="1:8" s="18" customFormat="1" x14ac:dyDescent="0.4">
      <c r="A130" s="16"/>
      <c r="B130" s="16"/>
      <c r="C130" s="16"/>
      <c r="D130" s="16"/>
      <c r="E130" s="25">
        <f>DATE(2002,8,20)</f>
        <v>37488</v>
      </c>
      <c r="F130" s="46" t="s">
        <v>51</v>
      </c>
      <c r="G130" s="16">
        <v>1</v>
      </c>
      <c r="H130" s="18">
        <v>49</v>
      </c>
    </row>
    <row r="131" spans="1:8" x14ac:dyDescent="0.4">
      <c r="A131" s="13">
        <v>29</v>
      </c>
      <c r="B131" s="13" t="s">
        <v>115</v>
      </c>
      <c r="C131" s="13" t="s">
        <v>113</v>
      </c>
      <c r="E131" s="24">
        <f>DATE(2002,9,5)</f>
        <v>37504</v>
      </c>
      <c r="F131" s="19" t="s">
        <v>51</v>
      </c>
      <c r="G131" s="13">
        <v>6</v>
      </c>
      <c r="H131" s="15">
        <v>49</v>
      </c>
    </row>
    <row r="132" spans="1:8" x14ac:dyDescent="0.4">
      <c r="E132" s="24">
        <f>DATE(2002,9,6)</f>
        <v>37505</v>
      </c>
      <c r="F132" s="19" t="s">
        <v>51</v>
      </c>
      <c r="G132" s="13">
        <v>1</v>
      </c>
      <c r="H132" s="15">
        <v>49</v>
      </c>
    </row>
    <row r="133" spans="1:8" x14ac:dyDescent="0.4">
      <c r="E133" s="24">
        <f>DATE(2002,9,8)</f>
        <v>37507</v>
      </c>
      <c r="F133" s="19" t="s">
        <v>51</v>
      </c>
      <c r="G133" s="13">
        <v>1</v>
      </c>
      <c r="H133" s="15">
        <v>49</v>
      </c>
    </row>
    <row r="134" spans="1:8" x14ac:dyDescent="0.4">
      <c r="E134" s="24">
        <f>DATE(2002,9,9)</f>
        <v>37508</v>
      </c>
      <c r="F134" s="19" t="s">
        <v>51</v>
      </c>
      <c r="G134" s="13">
        <v>1</v>
      </c>
      <c r="H134" s="15">
        <v>49</v>
      </c>
    </row>
    <row r="135" spans="1:8" x14ac:dyDescent="0.4">
      <c r="E135" s="24">
        <f>DATE(2002,9,11)</f>
        <v>37510</v>
      </c>
      <c r="F135" s="19" t="s">
        <v>51</v>
      </c>
      <c r="G135" s="13">
        <v>1</v>
      </c>
      <c r="H135" s="15">
        <v>49</v>
      </c>
    </row>
    <row r="136" spans="1:8" x14ac:dyDescent="0.4">
      <c r="E136" s="24">
        <f>DATE(2002,9,28)</f>
        <v>37527</v>
      </c>
      <c r="F136" s="19" t="s">
        <v>51</v>
      </c>
      <c r="G136" s="13">
        <v>1</v>
      </c>
      <c r="H136" s="15">
        <v>49</v>
      </c>
    </row>
    <row r="137" spans="1:8" s="18" customFormat="1" x14ac:dyDescent="0.4">
      <c r="A137" s="16">
        <v>30</v>
      </c>
      <c r="B137" s="16" t="s">
        <v>115</v>
      </c>
      <c r="C137" s="16" t="s">
        <v>113</v>
      </c>
      <c r="D137" s="16"/>
      <c r="E137" s="25">
        <f>DATE(2002,10,2)</f>
        <v>37531</v>
      </c>
      <c r="F137" s="46" t="s">
        <v>51</v>
      </c>
      <c r="G137" s="16">
        <v>3</v>
      </c>
      <c r="H137" s="18">
        <v>49</v>
      </c>
    </row>
    <row r="138" spans="1:8" s="18" customFormat="1" x14ac:dyDescent="0.4">
      <c r="A138" s="16"/>
      <c r="B138" s="16"/>
      <c r="C138" s="16"/>
      <c r="D138" s="16"/>
      <c r="E138" s="25">
        <f>DATE(2002,10,27)</f>
        <v>37556</v>
      </c>
      <c r="F138" s="46" t="s">
        <v>51</v>
      </c>
      <c r="G138" s="16">
        <v>1</v>
      </c>
      <c r="H138" s="18">
        <v>49</v>
      </c>
    </row>
    <row r="139" spans="1:8" x14ac:dyDescent="0.4">
      <c r="A139" s="13">
        <v>31</v>
      </c>
      <c r="B139" s="13" t="s">
        <v>115</v>
      </c>
      <c r="C139" s="13" t="s">
        <v>113</v>
      </c>
      <c r="E139" s="24">
        <f>DATE(2002,11,3)</f>
        <v>37563</v>
      </c>
      <c r="F139" s="19" t="s">
        <v>51</v>
      </c>
      <c r="G139" s="13">
        <v>1</v>
      </c>
      <c r="H139" s="15">
        <v>49</v>
      </c>
    </row>
    <row r="140" spans="1:8" x14ac:dyDescent="0.4">
      <c r="E140" s="24">
        <f>DATE(2002,11,7)</f>
        <v>37567</v>
      </c>
      <c r="F140" s="19" t="s">
        <v>51</v>
      </c>
      <c r="G140" s="13">
        <v>1</v>
      </c>
      <c r="H140" s="15">
        <v>49</v>
      </c>
    </row>
    <row r="141" spans="1:8" s="18" customFormat="1" x14ac:dyDescent="0.4">
      <c r="A141" s="16">
        <v>32</v>
      </c>
      <c r="B141" s="16" t="s">
        <v>174</v>
      </c>
      <c r="C141" s="16" t="s">
        <v>208</v>
      </c>
      <c r="D141" s="16"/>
      <c r="E141" s="36" t="s">
        <v>218</v>
      </c>
      <c r="F141" s="46" t="s">
        <v>51</v>
      </c>
      <c r="G141" s="16">
        <v>1</v>
      </c>
      <c r="H141" s="18">
        <v>49</v>
      </c>
    </row>
    <row r="142" spans="1:8" s="18" customFormat="1" x14ac:dyDescent="0.4">
      <c r="A142" s="16"/>
      <c r="B142" s="16" t="s">
        <v>115</v>
      </c>
      <c r="C142" s="16" t="s">
        <v>113</v>
      </c>
      <c r="D142" s="16"/>
      <c r="E142" s="25">
        <f>DATE(2003,1,1)</f>
        <v>37622</v>
      </c>
      <c r="F142" s="46" t="s">
        <v>51</v>
      </c>
      <c r="G142" s="16">
        <v>1</v>
      </c>
      <c r="H142" s="18">
        <v>49</v>
      </c>
    </row>
    <row r="143" spans="1:8" s="18" customFormat="1" x14ac:dyDescent="0.4">
      <c r="A143" s="16"/>
      <c r="B143" s="16"/>
      <c r="C143" s="16"/>
      <c r="D143" s="16"/>
      <c r="E143" s="25">
        <f>DATE(2003,1,17)</f>
        <v>37638</v>
      </c>
      <c r="F143" s="46" t="s">
        <v>51</v>
      </c>
      <c r="G143" s="16">
        <v>1</v>
      </c>
      <c r="H143" s="18">
        <v>49</v>
      </c>
    </row>
    <row r="144" spans="1:8" x14ac:dyDescent="0.4">
      <c r="A144" s="13">
        <v>33</v>
      </c>
      <c r="B144" s="13" t="s">
        <v>174</v>
      </c>
      <c r="C144" s="13" t="s">
        <v>208</v>
      </c>
      <c r="E144" s="26" t="s">
        <v>218</v>
      </c>
      <c r="F144" s="19" t="s">
        <v>51</v>
      </c>
      <c r="G144" s="13">
        <v>1</v>
      </c>
      <c r="H144" s="15">
        <v>49</v>
      </c>
    </row>
    <row r="145" spans="1:8" x14ac:dyDescent="0.4">
      <c r="B145" s="13" t="s">
        <v>115</v>
      </c>
      <c r="C145" s="13" t="s">
        <v>113</v>
      </c>
      <c r="E145" s="24">
        <f>DATE(2003,1,31)</f>
        <v>37652</v>
      </c>
      <c r="F145" s="19" t="s">
        <v>51</v>
      </c>
      <c r="G145" s="13">
        <v>1</v>
      </c>
      <c r="H145" s="15">
        <v>49</v>
      </c>
    </row>
    <row r="146" spans="1:8" x14ac:dyDescent="0.4">
      <c r="E146" s="24">
        <f>DATE(2003,2,25)</f>
        <v>37677</v>
      </c>
      <c r="F146" s="19" t="s">
        <v>51</v>
      </c>
      <c r="G146" s="13">
        <v>7</v>
      </c>
      <c r="H146" s="15">
        <v>49</v>
      </c>
    </row>
    <row r="147" spans="1:8" x14ac:dyDescent="0.4">
      <c r="E147" s="24">
        <f>DATE(2003,2,27)</f>
        <v>37679</v>
      </c>
      <c r="F147" s="19" t="s">
        <v>51</v>
      </c>
      <c r="G147" s="13">
        <v>5</v>
      </c>
      <c r="H147" s="15">
        <v>49</v>
      </c>
    </row>
    <row r="148" spans="1:8" s="18" customFormat="1" x14ac:dyDescent="0.4">
      <c r="A148" s="16">
        <v>34</v>
      </c>
      <c r="B148" s="16" t="s">
        <v>115</v>
      </c>
      <c r="C148" s="16" t="s">
        <v>113</v>
      </c>
      <c r="D148" s="16"/>
      <c r="E148" s="25">
        <f>DATE(2003,3,3)</f>
        <v>37683</v>
      </c>
      <c r="F148" s="46" t="s">
        <v>51</v>
      </c>
      <c r="G148" s="16">
        <v>1</v>
      </c>
      <c r="H148" s="18">
        <v>49</v>
      </c>
    </row>
    <row r="149" spans="1:8" s="18" customFormat="1" x14ac:dyDescent="0.4">
      <c r="A149" s="16"/>
      <c r="B149" s="16"/>
      <c r="C149" s="16"/>
      <c r="D149" s="16"/>
      <c r="E149" s="25">
        <f>DATE(2003,3,4)</f>
        <v>37684</v>
      </c>
      <c r="F149" s="46" t="s">
        <v>51</v>
      </c>
      <c r="G149" s="16">
        <v>9</v>
      </c>
      <c r="H149" s="18">
        <v>49</v>
      </c>
    </row>
    <row r="150" spans="1:8" s="18" customFormat="1" x14ac:dyDescent="0.4">
      <c r="A150" s="16"/>
      <c r="B150" s="16"/>
      <c r="C150" s="16"/>
      <c r="D150" s="16"/>
      <c r="E150" s="25">
        <f>DATE(2003,3,5)</f>
        <v>37685</v>
      </c>
      <c r="F150" s="46" t="s">
        <v>51</v>
      </c>
      <c r="G150" s="16">
        <v>2</v>
      </c>
      <c r="H150" s="18">
        <v>49</v>
      </c>
    </row>
    <row r="151" spans="1:8" s="18" customFormat="1" x14ac:dyDescent="0.4">
      <c r="A151" s="16"/>
      <c r="B151" s="16"/>
      <c r="C151" s="16"/>
      <c r="D151" s="16"/>
      <c r="E151" s="25">
        <f>DATE(2003,3,8)</f>
        <v>37688</v>
      </c>
      <c r="F151" s="46" t="s">
        <v>51</v>
      </c>
      <c r="G151" s="16">
        <v>1</v>
      </c>
      <c r="H151" s="18">
        <v>49</v>
      </c>
    </row>
    <row r="152" spans="1:8" s="18" customFormat="1" x14ac:dyDescent="0.4">
      <c r="A152" s="16"/>
      <c r="B152" s="16"/>
      <c r="C152" s="16"/>
      <c r="D152" s="16"/>
      <c r="E152" s="25">
        <f>DATE(2003,3,10)</f>
        <v>37690</v>
      </c>
      <c r="F152" s="46" t="s">
        <v>51</v>
      </c>
      <c r="G152" s="16">
        <v>2</v>
      </c>
      <c r="H152" s="18">
        <v>49</v>
      </c>
    </row>
    <row r="153" spans="1:8" s="18" customFormat="1" x14ac:dyDescent="0.4">
      <c r="A153" s="16"/>
      <c r="B153" s="16"/>
      <c r="C153" s="16"/>
      <c r="D153" s="16"/>
      <c r="E153" s="25">
        <f>DATE(2003,3,13)</f>
        <v>37693</v>
      </c>
      <c r="F153" s="46" t="s">
        <v>51</v>
      </c>
      <c r="G153" s="16">
        <v>1</v>
      </c>
      <c r="H153" s="18">
        <v>49</v>
      </c>
    </row>
    <row r="154" spans="1:8" s="18" customFormat="1" x14ac:dyDescent="0.4">
      <c r="A154" s="16"/>
      <c r="B154" s="16"/>
      <c r="C154" s="16"/>
      <c r="D154" s="16"/>
      <c r="E154" s="25">
        <f>DATE(2003,3,14)</f>
        <v>37694</v>
      </c>
      <c r="F154" s="46" t="s">
        <v>51</v>
      </c>
      <c r="G154" s="16">
        <v>1</v>
      </c>
      <c r="H154" s="18">
        <v>49</v>
      </c>
    </row>
    <row r="155" spans="1:8" s="18" customFormat="1" x14ac:dyDescent="0.4">
      <c r="A155" s="16"/>
      <c r="B155" s="16"/>
      <c r="C155" s="16"/>
      <c r="D155" s="16"/>
      <c r="E155" s="25">
        <f>DATE(2003,3,19)</f>
        <v>37699</v>
      </c>
      <c r="F155" s="46" t="s">
        <v>51</v>
      </c>
      <c r="G155" s="16">
        <v>1</v>
      </c>
      <c r="H155" s="18">
        <v>49</v>
      </c>
    </row>
    <row r="156" spans="1:8" s="18" customFormat="1" x14ac:dyDescent="0.4">
      <c r="A156" s="16"/>
      <c r="B156" s="16"/>
      <c r="C156" s="16"/>
      <c r="D156" s="16"/>
      <c r="E156" s="25">
        <f>DATE(2003,3,21)</f>
        <v>37701</v>
      </c>
      <c r="F156" s="46" t="s">
        <v>51</v>
      </c>
      <c r="G156" s="16">
        <v>9</v>
      </c>
      <c r="H156" s="18">
        <v>49</v>
      </c>
    </row>
    <row r="157" spans="1:8" s="18" customFormat="1" x14ac:dyDescent="0.4">
      <c r="A157" s="16"/>
      <c r="B157" s="16"/>
      <c r="C157" s="16"/>
      <c r="D157" s="16"/>
      <c r="E157" s="25">
        <f>DATE(2003,3,22)</f>
        <v>37702</v>
      </c>
      <c r="F157" s="46" t="s">
        <v>51</v>
      </c>
      <c r="G157" s="16">
        <v>1</v>
      </c>
      <c r="H157" s="18">
        <v>49</v>
      </c>
    </row>
    <row r="158" spans="1:8" s="18" customFormat="1" x14ac:dyDescent="0.4">
      <c r="A158" s="16"/>
      <c r="B158" s="16"/>
      <c r="C158" s="16"/>
      <c r="D158" s="16"/>
      <c r="E158" s="25">
        <f>DATE(2003,3,27)</f>
        <v>37707</v>
      </c>
      <c r="F158" s="46" t="s">
        <v>51</v>
      </c>
      <c r="G158" s="16">
        <v>7</v>
      </c>
      <c r="H158" s="18">
        <v>49</v>
      </c>
    </row>
    <row r="159" spans="1:8" s="18" customFormat="1" x14ac:dyDescent="0.4">
      <c r="A159" s="16"/>
      <c r="B159" s="16"/>
      <c r="C159" s="16"/>
      <c r="D159" s="16"/>
      <c r="E159" s="25">
        <f>DATE(2003,3,28)</f>
        <v>37708</v>
      </c>
      <c r="F159" s="46" t="s">
        <v>51</v>
      </c>
      <c r="G159" s="16">
        <v>1</v>
      </c>
      <c r="H159" s="18">
        <v>49</v>
      </c>
    </row>
    <row r="160" spans="1:8" s="18" customFormat="1" x14ac:dyDescent="0.4">
      <c r="A160" s="16"/>
      <c r="B160" s="16"/>
      <c r="C160" s="16"/>
      <c r="D160" s="16"/>
      <c r="E160" s="25">
        <f>DATE(2003,3,31)</f>
        <v>37711</v>
      </c>
      <c r="F160" s="46" t="s">
        <v>51</v>
      </c>
      <c r="G160" s="16">
        <v>1</v>
      </c>
      <c r="H160" s="18">
        <v>49</v>
      </c>
    </row>
    <row r="161" spans="1:8" x14ac:dyDescent="0.4">
      <c r="A161" s="13">
        <v>35</v>
      </c>
      <c r="B161" s="13" t="s">
        <v>115</v>
      </c>
      <c r="C161" s="13" t="s">
        <v>113</v>
      </c>
      <c r="E161" s="24">
        <f>DATE(2003,4,8)</f>
        <v>37719</v>
      </c>
      <c r="F161" s="19" t="s">
        <v>51</v>
      </c>
      <c r="G161" s="13">
        <v>1</v>
      </c>
      <c r="H161" s="15">
        <v>49</v>
      </c>
    </row>
    <row r="162" spans="1:8" x14ac:dyDescent="0.4">
      <c r="E162" s="24">
        <f>DATE(2003,4,9)</f>
        <v>37720</v>
      </c>
      <c r="F162" s="19" t="s">
        <v>51</v>
      </c>
      <c r="G162" s="13">
        <v>10</v>
      </c>
      <c r="H162" s="15">
        <v>49</v>
      </c>
    </row>
    <row r="163" spans="1:8" x14ac:dyDescent="0.4">
      <c r="E163" s="24">
        <f>DATE(2003,4,17)</f>
        <v>37728</v>
      </c>
      <c r="F163" s="19" t="s">
        <v>51</v>
      </c>
      <c r="G163" s="13">
        <v>3</v>
      </c>
      <c r="H163" s="15">
        <v>49</v>
      </c>
    </row>
    <row r="164" spans="1:8" x14ac:dyDescent="0.4">
      <c r="E164" s="24">
        <f>DATE(2003,4,18)</f>
        <v>37729</v>
      </c>
      <c r="F164" s="19" t="s">
        <v>51</v>
      </c>
      <c r="G164" s="13">
        <v>4</v>
      </c>
      <c r="H164" s="15">
        <v>49</v>
      </c>
    </row>
    <row r="165" spans="1:8" x14ac:dyDescent="0.4">
      <c r="E165" s="24">
        <f>DATE(2003,4,23)</f>
        <v>37734</v>
      </c>
      <c r="F165" s="19" t="s">
        <v>51</v>
      </c>
      <c r="G165" s="13">
        <v>1</v>
      </c>
      <c r="H165" s="15">
        <v>49</v>
      </c>
    </row>
    <row r="166" spans="1:8" s="18" customFormat="1" x14ac:dyDescent="0.4">
      <c r="A166" s="16">
        <v>36</v>
      </c>
      <c r="B166" s="16" t="s">
        <v>115</v>
      </c>
      <c r="C166" s="16" t="s">
        <v>113</v>
      </c>
      <c r="D166" s="16"/>
      <c r="E166" s="25">
        <f>DATE(2003,5,2)</f>
        <v>37743</v>
      </c>
      <c r="F166" s="46" t="s">
        <v>51</v>
      </c>
      <c r="G166" s="16">
        <v>1</v>
      </c>
      <c r="H166" s="18">
        <v>49</v>
      </c>
    </row>
    <row r="167" spans="1:8" s="18" customFormat="1" x14ac:dyDescent="0.4">
      <c r="A167" s="16"/>
      <c r="B167" s="16"/>
      <c r="C167" s="16"/>
      <c r="D167" s="16"/>
      <c r="E167" s="25">
        <f>DATE(2003,5,3)</f>
        <v>37744</v>
      </c>
      <c r="F167" s="46" t="s">
        <v>51</v>
      </c>
      <c r="G167" s="16">
        <v>1</v>
      </c>
      <c r="H167" s="18">
        <v>49</v>
      </c>
    </row>
    <row r="168" spans="1:8" s="18" customFormat="1" x14ac:dyDescent="0.4">
      <c r="A168" s="16"/>
      <c r="B168" s="16"/>
      <c r="C168" s="16"/>
      <c r="D168" s="16"/>
      <c r="E168" s="25">
        <f>DATE(2003,5,5)</f>
        <v>37746</v>
      </c>
      <c r="F168" s="46" t="s">
        <v>51</v>
      </c>
      <c r="G168" s="16">
        <v>1</v>
      </c>
      <c r="H168" s="18">
        <v>49</v>
      </c>
    </row>
    <row r="169" spans="1:8" s="18" customFormat="1" x14ac:dyDescent="0.4">
      <c r="A169" s="16"/>
      <c r="B169" s="16"/>
      <c r="C169" s="16"/>
      <c r="D169" s="16"/>
      <c r="E169" s="25">
        <f>DATE(2003,5,7)</f>
        <v>37748</v>
      </c>
      <c r="F169" s="46" t="s">
        <v>51</v>
      </c>
      <c r="G169" s="16">
        <v>1</v>
      </c>
      <c r="H169" s="18">
        <v>49</v>
      </c>
    </row>
    <row r="170" spans="1:8" s="18" customFormat="1" x14ac:dyDescent="0.4">
      <c r="A170" s="16"/>
      <c r="B170" s="16"/>
      <c r="C170" s="16"/>
      <c r="D170" s="16"/>
      <c r="E170" s="25">
        <f>DATE(2003,5,11)</f>
        <v>37752</v>
      </c>
      <c r="F170" s="46" t="s">
        <v>51</v>
      </c>
      <c r="G170" s="16">
        <v>1</v>
      </c>
      <c r="H170" s="18">
        <v>49</v>
      </c>
    </row>
    <row r="171" spans="1:8" s="18" customFormat="1" x14ac:dyDescent="0.4">
      <c r="A171" s="16"/>
      <c r="B171" s="16"/>
      <c r="C171" s="16"/>
      <c r="D171" s="16"/>
      <c r="E171" s="25">
        <f>DATE(2003,5,13)</f>
        <v>37754</v>
      </c>
      <c r="F171" s="46" t="s">
        <v>51</v>
      </c>
      <c r="G171" s="16">
        <v>4</v>
      </c>
      <c r="H171" s="18">
        <v>49</v>
      </c>
    </row>
    <row r="172" spans="1:8" s="18" customFormat="1" x14ac:dyDescent="0.4">
      <c r="A172" s="16"/>
      <c r="B172" s="16"/>
      <c r="C172" s="16"/>
      <c r="D172" s="16"/>
      <c r="E172" s="25">
        <f>DATE(2003,5,19)</f>
        <v>37760</v>
      </c>
      <c r="F172" s="46" t="s">
        <v>51</v>
      </c>
      <c r="G172" s="16">
        <v>4</v>
      </c>
      <c r="H172" s="18">
        <v>49</v>
      </c>
    </row>
    <row r="173" spans="1:8" x14ac:dyDescent="0.4">
      <c r="A173" s="13">
        <v>37</v>
      </c>
      <c r="B173" s="13" t="s">
        <v>115</v>
      </c>
      <c r="C173" s="13" t="s">
        <v>113</v>
      </c>
      <c r="E173" s="24">
        <f>DATE(2003,8,26)</f>
        <v>37859</v>
      </c>
      <c r="F173" s="19" t="s">
        <v>51</v>
      </c>
      <c r="G173" s="13">
        <v>3</v>
      </c>
      <c r="H173" s="15">
        <v>49</v>
      </c>
    </row>
    <row r="174" spans="1:8" x14ac:dyDescent="0.4">
      <c r="E174" s="24">
        <f>DATE(2003,8,29)</f>
        <v>37862</v>
      </c>
      <c r="F174" s="19" t="s">
        <v>51</v>
      </c>
      <c r="G174" s="13">
        <v>1</v>
      </c>
      <c r="H174" s="15">
        <v>49</v>
      </c>
    </row>
    <row r="175" spans="1:8" x14ac:dyDescent="0.4">
      <c r="E175" s="24">
        <f>DATE(2003,8,31)</f>
        <v>37864</v>
      </c>
      <c r="F175" s="19" t="s">
        <v>51</v>
      </c>
      <c r="G175" s="13">
        <v>8</v>
      </c>
      <c r="H175" s="15">
        <v>49</v>
      </c>
    </row>
    <row r="176" spans="1:8" s="18" customFormat="1" x14ac:dyDescent="0.4">
      <c r="A176" s="16">
        <v>38</v>
      </c>
      <c r="B176" s="16" t="s">
        <v>174</v>
      </c>
      <c r="C176" s="16" t="s">
        <v>208</v>
      </c>
      <c r="D176" s="16"/>
      <c r="E176" s="17" t="s">
        <v>219</v>
      </c>
      <c r="F176" s="46" t="s">
        <v>51</v>
      </c>
      <c r="G176" s="16">
        <v>1</v>
      </c>
      <c r="H176" s="18">
        <v>49</v>
      </c>
    </row>
    <row r="177" spans="1:8" s="18" customFormat="1" x14ac:dyDescent="0.4">
      <c r="A177" s="16"/>
      <c r="B177" s="16" t="s">
        <v>115</v>
      </c>
      <c r="C177" s="16" t="s">
        <v>113</v>
      </c>
      <c r="D177" s="16"/>
      <c r="E177" s="17">
        <f>DATE(2003,9,1)</f>
        <v>37865</v>
      </c>
      <c r="F177" s="46" t="s">
        <v>51</v>
      </c>
      <c r="G177" s="16">
        <v>1</v>
      </c>
      <c r="H177" s="18">
        <v>49</v>
      </c>
    </row>
    <row r="178" spans="1:8" s="18" customFormat="1" x14ac:dyDescent="0.4">
      <c r="A178" s="16"/>
      <c r="B178" s="16"/>
      <c r="C178" s="16"/>
      <c r="D178" s="16"/>
      <c r="E178" s="17">
        <f>DATE(2003,9,8)</f>
        <v>37872</v>
      </c>
      <c r="F178" s="46" t="s">
        <v>51</v>
      </c>
      <c r="G178" s="16">
        <v>1</v>
      </c>
      <c r="H178" s="18">
        <v>49</v>
      </c>
    </row>
    <row r="179" spans="1:8" s="18" customFormat="1" x14ac:dyDescent="0.4">
      <c r="A179" s="16"/>
      <c r="B179" s="16"/>
      <c r="C179" s="16"/>
      <c r="D179" s="16"/>
      <c r="E179" s="17">
        <f>DATE(2003,9,11)</f>
        <v>37875</v>
      </c>
      <c r="F179" s="46" t="s">
        <v>51</v>
      </c>
      <c r="G179" s="16">
        <v>1</v>
      </c>
      <c r="H179" s="18">
        <v>49</v>
      </c>
    </row>
    <row r="180" spans="1:8" s="18" customFormat="1" x14ac:dyDescent="0.4">
      <c r="A180" s="16"/>
      <c r="B180" s="16"/>
      <c r="C180" s="16"/>
      <c r="D180" s="16"/>
      <c r="E180" s="17">
        <f>DATE(2003,9,22)</f>
        <v>37886</v>
      </c>
      <c r="F180" s="46" t="s">
        <v>51</v>
      </c>
      <c r="G180" s="16">
        <v>1</v>
      </c>
      <c r="H180" s="18">
        <v>49</v>
      </c>
    </row>
    <row r="181" spans="1:8" s="18" customFormat="1" x14ac:dyDescent="0.4">
      <c r="A181" s="16"/>
      <c r="B181" s="16"/>
      <c r="C181" s="16"/>
      <c r="D181" s="16"/>
      <c r="E181" s="17">
        <f>DATE(2003,9,26)</f>
        <v>37890</v>
      </c>
      <c r="F181" s="46" t="s">
        <v>51</v>
      </c>
      <c r="G181" s="16">
        <v>1</v>
      </c>
      <c r="H181" s="18">
        <v>49</v>
      </c>
    </row>
    <row r="182" spans="1:8" x14ac:dyDescent="0.4">
      <c r="A182" s="13">
        <v>39</v>
      </c>
      <c r="B182" s="13" t="s">
        <v>115</v>
      </c>
      <c r="C182" s="13" t="s">
        <v>113</v>
      </c>
      <c r="E182" s="14">
        <f>DATE(2003,10,11)</f>
        <v>37905</v>
      </c>
      <c r="F182" s="19" t="s">
        <v>51</v>
      </c>
      <c r="G182" s="13">
        <v>1</v>
      </c>
      <c r="H182" s="15">
        <v>49</v>
      </c>
    </row>
    <row r="183" spans="1:8" x14ac:dyDescent="0.4">
      <c r="E183" s="14">
        <f>DATE(2003,10,18)</f>
        <v>37912</v>
      </c>
      <c r="F183" s="19" t="s">
        <v>51</v>
      </c>
      <c r="G183" s="13">
        <v>1</v>
      </c>
      <c r="H183" s="15">
        <v>49</v>
      </c>
    </row>
    <row r="184" spans="1:8" x14ac:dyDescent="0.4">
      <c r="E184" s="14">
        <f>DATE(2003,10,23)</f>
        <v>37917</v>
      </c>
      <c r="F184" s="19" t="s">
        <v>51</v>
      </c>
      <c r="G184" s="13">
        <v>1</v>
      </c>
      <c r="H184" s="15">
        <v>49</v>
      </c>
    </row>
    <row r="185" spans="1:8" x14ac:dyDescent="0.4">
      <c r="E185" s="14">
        <f>DATE(2003,10,26)</f>
        <v>37920</v>
      </c>
      <c r="F185" s="19" t="s">
        <v>51</v>
      </c>
      <c r="G185" s="13">
        <v>1</v>
      </c>
      <c r="H185" s="15">
        <v>49</v>
      </c>
    </row>
    <row r="186" spans="1:8" x14ac:dyDescent="0.4">
      <c r="E186" s="14">
        <f>DATE(2003,10,30)</f>
        <v>37924</v>
      </c>
      <c r="F186" s="19" t="s">
        <v>51</v>
      </c>
      <c r="G186" s="13">
        <v>1</v>
      </c>
      <c r="H186" s="15">
        <v>49</v>
      </c>
    </row>
    <row r="187" spans="1:8" s="18" customFormat="1" x14ac:dyDescent="0.4">
      <c r="A187" s="16">
        <v>40</v>
      </c>
      <c r="B187" s="16" t="s">
        <v>174</v>
      </c>
      <c r="C187" s="16" t="s">
        <v>208</v>
      </c>
      <c r="D187" s="16"/>
      <c r="E187" s="17" t="s">
        <v>220</v>
      </c>
      <c r="F187" s="46" t="s">
        <v>51</v>
      </c>
      <c r="G187" s="16">
        <v>1</v>
      </c>
      <c r="H187" s="18">
        <v>49</v>
      </c>
    </row>
    <row r="188" spans="1:8" s="18" customFormat="1" x14ac:dyDescent="0.4">
      <c r="A188" s="16"/>
      <c r="B188" s="16" t="s">
        <v>115</v>
      </c>
      <c r="C188" s="16" t="s">
        <v>113</v>
      </c>
      <c r="D188" s="16"/>
      <c r="E188" s="17">
        <f>DATE(2003,11,1)</f>
        <v>37926</v>
      </c>
      <c r="F188" s="46" t="s">
        <v>51</v>
      </c>
      <c r="G188" s="16">
        <v>1</v>
      </c>
      <c r="H188" s="18">
        <v>49</v>
      </c>
    </row>
    <row r="189" spans="1:8" s="18" customFormat="1" x14ac:dyDescent="0.4">
      <c r="A189" s="16"/>
      <c r="B189" s="16"/>
      <c r="C189" s="16"/>
      <c r="D189" s="16"/>
      <c r="E189" s="17">
        <f>DATE(2003,11,4)</f>
        <v>37929</v>
      </c>
      <c r="F189" s="46" t="s">
        <v>51</v>
      </c>
      <c r="G189" s="16">
        <v>1</v>
      </c>
      <c r="H189" s="18">
        <v>49</v>
      </c>
    </row>
    <row r="190" spans="1:8" s="18" customFormat="1" x14ac:dyDescent="0.4">
      <c r="A190" s="16"/>
      <c r="B190" s="16"/>
      <c r="C190" s="16"/>
      <c r="D190" s="16"/>
      <c r="E190" s="17">
        <f>DATE(2003,11,12)</f>
        <v>37937</v>
      </c>
      <c r="F190" s="46" t="s">
        <v>51</v>
      </c>
      <c r="G190" s="16">
        <v>1</v>
      </c>
      <c r="H190" s="18">
        <v>49</v>
      </c>
    </row>
    <row r="191" spans="1:8" s="18" customFormat="1" x14ac:dyDescent="0.4">
      <c r="A191" s="16"/>
      <c r="B191" s="16"/>
      <c r="C191" s="16"/>
      <c r="D191" s="16"/>
      <c r="E191" s="17">
        <f>DATE(2003,11,13)</f>
        <v>37938</v>
      </c>
      <c r="F191" s="46" t="s">
        <v>51</v>
      </c>
      <c r="G191" s="16">
        <v>1</v>
      </c>
      <c r="H191" s="18">
        <v>49</v>
      </c>
    </row>
    <row r="192" spans="1:8" s="18" customFormat="1" x14ac:dyDescent="0.4">
      <c r="A192" s="16"/>
      <c r="B192" s="16"/>
      <c r="C192" s="16"/>
      <c r="D192" s="16"/>
      <c r="E192" s="17">
        <f>DATE(2003,11,17)</f>
        <v>37942</v>
      </c>
      <c r="F192" s="46" t="s">
        <v>51</v>
      </c>
      <c r="G192" s="16">
        <v>1</v>
      </c>
      <c r="H192" s="18">
        <v>49</v>
      </c>
    </row>
    <row r="193" spans="1:8" s="18" customFormat="1" x14ac:dyDescent="0.4">
      <c r="A193" s="16"/>
      <c r="B193" s="16"/>
      <c r="C193" s="16"/>
      <c r="D193" s="16"/>
      <c r="E193" s="17">
        <f>DATE(2003,11,19)</f>
        <v>37944</v>
      </c>
      <c r="F193" s="46" t="s">
        <v>51</v>
      </c>
      <c r="G193" s="16">
        <v>6</v>
      </c>
      <c r="H193" s="18">
        <v>49</v>
      </c>
    </row>
    <row r="194" spans="1:8" s="18" customFormat="1" x14ac:dyDescent="0.4">
      <c r="A194" s="16"/>
      <c r="B194" s="16"/>
      <c r="C194" s="16"/>
      <c r="D194" s="16"/>
      <c r="E194" s="17">
        <f>DATE(2003,11,22)</f>
        <v>37947</v>
      </c>
      <c r="F194" s="46" t="s">
        <v>51</v>
      </c>
      <c r="G194" s="16">
        <v>1</v>
      </c>
      <c r="H194" s="18">
        <v>49</v>
      </c>
    </row>
    <row r="195" spans="1:8" s="18" customFormat="1" x14ac:dyDescent="0.4">
      <c r="A195" s="16"/>
      <c r="B195" s="16"/>
      <c r="C195" s="16"/>
      <c r="D195" s="16"/>
      <c r="E195" s="17">
        <f>DATE(2003,11,23)</f>
        <v>37948</v>
      </c>
      <c r="F195" s="46" t="s">
        <v>51</v>
      </c>
      <c r="G195" s="16">
        <v>1</v>
      </c>
      <c r="H195" s="18">
        <v>49</v>
      </c>
    </row>
    <row r="196" spans="1:8" x14ac:dyDescent="0.4">
      <c r="A196" s="13">
        <v>41</v>
      </c>
      <c r="B196" s="13" t="s">
        <v>174</v>
      </c>
      <c r="C196" s="13" t="s">
        <v>208</v>
      </c>
      <c r="E196" s="14" t="s">
        <v>221</v>
      </c>
      <c r="F196" s="19" t="s">
        <v>51</v>
      </c>
      <c r="G196" s="13">
        <v>1</v>
      </c>
      <c r="H196" s="15">
        <v>49</v>
      </c>
    </row>
    <row r="197" spans="1:8" x14ac:dyDescent="0.4">
      <c r="B197" s="13" t="s">
        <v>115</v>
      </c>
      <c r="C197" s="13" t="s">
        <v>113</v>
      </c>
      <c r="E197" s="14">
        <f>DATE(2003,12,1)</f>
        <v>37956</v>
      </c>
      <c r="F197" s="19" t="s">
        <v>51</v>
      </c>
      <c r="G197" s="13">
        <v>1</v>
      </c>
      <c r="H197" s="15">
        <v>49</v>
      </c>
    </row>
    <row r="198" spans="1:8" x14ac:dyDescent="0.4">
      <c r="E198" s="14">
        <f>DATE(2003,12,31)</f>
        <v>37986</v>
      </c>
      <c r="F198" s="19" t="s">
        <v>51</v>
      </c>
      <c r="G198" s="13">
        <v>1</v>
      </c>
      <c r="H198" s="15">
        <v>49</v>
      </c>
    </row>
    <row r="199" spans="1:8" s="18" customFormat="1" x14ac:dyDescent="0.4">
      <c r="A199" s="16">
        <v>42</v>
      </c>
      <c r="B199" s="16" t="s">
        <v>174</v>
      </c>
      <c r="C199" s="16" t="s">
        <v>208</v>
      </c>
      <c r="D199" s="16"/>
      <c r="E199" s="17" t="s">
        <v>222</v>
      </c>
      <c r="F199" s="46" t="s">
        <v>51</v>
      </c>
      <c r="G199" s="16">
        <v>1</v>
      </c>
      <c r="H199" s="18">
        <v>49</v>
      </c>
    </row>
    <row r="200" spans="1:8" s="18" customFormat="1" x14ac:dyDescent="0.4">
      <c r="A200" s="16"/>
      <c r="B200" s="16" t="s">
        <v>115</v>
      </c>
      <c r="C200" s="16" t="s">
        <v>113</v>
      </c>
      <c r="D200" s="16"/>
      <c r="E200" s="17">
        <f>DATE(2004,1,1)</f>
        <v>37987</v>
      </c>
      <c r="F200" s="46" t="s">
        <v>51</v>
      </c>
      <c r="G200" s="16">
        <v>1</v>
      </c>
      <c r="H200" s="18">
        <v>49</v>
      </c>
    </row>
    <row r="201" spans="1:8" s="18" customFormat="1" x14ac:dyDescent="0.4">
      <c r="A201" s="16"/>
      <c r="B201" s="16"/>
      <c r="C201" s="16"/>
      <c r="D201" s="16"/>
      <c r="E201" s="17">
        <f>DATE(2004,1,20)</f>
        <v>38006</v>
      </c>
      <c r="F201" s="46" t="s">
        <v>51</v>
      </c>
      <c r="G201" s="16">
        <v>1</v>
      </c>
      <c r="H201" s="18">
        <v>49</v>
      </c>
    </row>
    <row r="202" spans="1:8" s="18" customFormat="1" x14ac:dyDescent="0.4">
      <c r="A202" s="16"/>
      <c r="B202" s="16"/>
      <c r="C202" s="16"/>
      <c r="D202" s="16"/>
      <c r="E202" s="17">
        <f>DATE(2004,1,22)</f>
        <v>38008</v>
      </c>
      <c r="F202" s="46" t="s">
        <v>51</v>
      </c>
      <c r="G202" s="16">
        <v>4</v>
      </c>
      <c r="H202" s="18">
        <v>49</v>
      </c>
    </row>
    <row r="203" spans="1:8" s="18" customFormat="1" x14ac:dyDescent="0.4">
      <c r="A203" s="16"/>
      <c r="B203" s="16"/>
      <c r="C203" s="16"/>
      <c r="D203" s="16"/>
      <c r="E203" s="17">
        <f>DATE(2004,1,23)</f>
        <v>38009</v>
      </c>
      <c r="F203" s="46" t="s">
        <v>51</v>
      </c>
      <c r="G203" s="16">
        <v>1</v>
      </c>
      <c r="H203" s="18">
        <v>49</v>
      </c>
    </row>
    <row r="204" spans="1:8" s="18" customFormat="1" x14ac:dyDescent="0.4">
      <c r="A204" s="16"/>
      <c r="B204" s="16"/>
      <c r="C204" s="16"/>
      <c r="D204" s="16"/>
      <c r="E204" s="17">
        <f>DATE(2004,1,25)</f>
        <v>38011</v>
      </c>
      <c r="F204" s="46" t="s">
        <v>51</v>
      </c>
      <c r="G204" s="16">
        <v>1</v>
      </c>
      <c r="H204" s="18">
        <v>49</v>
      </c>
    </row>
    <row r="205" spans="1:8" s="18" customFormat="1" x14ac:dyDescent="0.4">
      <c r="A205" s="16"/>
      <c r="B205" s="16"/>
      <c r="C205" s="16"/>
      <c r="D205" s="16"/>
      <c r="E205" s="17">
        <f>DATE(2004,1,27)</f>
        <v>38013</v>
      </c>
      <c r="F205" s="46" t="s">
        <v>51</v>
      </c>
      <c r="G205" s="16">
        <v>1</v>
      </c>
      <c r="H205" s="18">
        <v>49</v>
      </c>
    </row>
    <row r="206" spans="1:8" s="18" customFormat="1" x14ac:dyDescent="0.4">
      <c r="A206" s="16"/>
      <c r="B206" s="16"/>
      <c r="C206" s="16"/>
      <c r="D206" s="16"/>
      <c r="E206" s="17">
        <f>DATE(2004,1,28)</f>
        <v>38014</v>
      </c>
      <c r="F206" s="46" t="s">
        <v>51</v>
      </c>
      <c r="G206" s="16">
        <v>5</v>
      </c>
      <c r="H206" s="18">
        <v>49</v>
      </c>
    </row>
    <row r="207" spans="1:8" s="18" customFormat="1" x14ac:dyDescent="0.4">
      <c r="A207" s="16"/>
      <c r="B207" s="16"/>
      <c r="C207" s="16"/>
      <c r="D207" s="16"/>
      <c r="E207" s="17">
        <f>DATE(2004,1,31)</f>
        <v>38017</v>
      </c>
      <c r="F207" s="46" t="s">
        <v>51</v>
      </c>
      <c r="G207" s="16">
        <v>1</v>
      </c>
      <c r="H207" s="18">
        <v>49</v>
      </c>
    </row>
    <row r="208" spans="1:8" x14ac:dyDescent="0.4">
      <c r="A208" s="13">
        <v>43</v>
      </c>
      <c r="B208" s="13" t="s">
        <v>115</v>
      </c>
      <c r="C208" s="13" t="s">
        <v>113</v>
      </c>
      <c r="E208" s="14">
        <f>DATE(2004,2,6)</f>
        <v>38023</v>
      </c>
      <c r="F208" s="19" t="s">
        <v>51</v>
      </c>
      <c r="G208" s="13">
        <v>1</v>
      </c>
      <c r="H208" s="15">
        <v>49</v>
      </c>
    </row>
    <row r="209" spans="1:8" x14ac:dyDescent="0.4">
      <c r="E209" s="14">
        <f>DATE(2004,2,7)</f>
        <v>38024</v>
      </c>
      <c r="F209" s="19" t="s">
        <v>51</v>
      </c>
      <c r="G209" s="13">
        <v>1</v>
      </c>
      <c r="H209" s="15">
        <v>49</v>
      </c>
    </row>
    <row r="210" spans="1:8" x14ac:dyDescent="0.4">
      <c r="E210" s="14">
        <f>DATE(2004,2,8)</f>
        <v>38025</v>
      </c>
      <c r="F210" s="19" t="s">
        <v>51</v>
      </c>
      <c r="G210" s="13">
        <v>1</v>
      </c>
      <c r="H210" s="15">
        <v>49</v>
      </c>
    </row>
    <row r="211" spans="1:8" x14ac:dyDescent="0.4">
      <c r="E211" s="14">
        <f>DATE(2004,2,9)</f>
        <v>38026</v>
      </c>
      <c r="F211" s="19" t="s">
        <v>51</v>
      </c>
      <c r="G211" s="13">
        <v>1</v>
      </c>
      <c r="H211" s="15">
        <v>49</v>
      </c>
    </row>
    <row r="212" spans="1:8" x14ac:dyDescent="0.4">
      <c r="E212" s="14">
        <f>DATE(2004,2,11)</f>
        <v>38028</v>
      </c>
      <c r="F212" s="19" t="s">
        <v>51</v>
      </c>
      <c r="G212" s="13">
        <v>1</v>
      </c>
      <c r="H212" s="15">
        <v>49</v>
      </c>
    </row>
    <row r="213" spans="1:8" x14ac:dyDescent="0.4">
      <c r="E213" s="14">
        <f>DATE(2004,2,22)</f>
        <v>38039</v>
      </c>
      <c r="F213" s="19" t="s">
        <v>51</v>
      </c>
      <c r="G213" s="13">
        <v>1</v>
      </c>
      <c r="H213" s="15">
        <v>49</v>
      </c>
    </row>
    <row r="214" spans="1:8" s="18" customFormat="1" x14ac:dyDescent="0.4">
      <c r="A214" s="16">
        <v>44</v>
      </c>
      <c r="B214" s="16" t="s">
        <v>115</v>
      </c>
      <c r="C214" s="16" t="s">
        <v>113</v>
      </c>
      <c r="D214" s="16"/>
      <c r="E214" s="17">
        <f>DATE(2004,3,11)</f>
        <v>38057</v>
      </c>
      <c r="F214" s="46" t="s">
        <v>51</v>
      </c>
      <c r="G214" s="16">
        <v>6</v>
      </c>
      <c r="H214" s="18">
        <v>49</v>
      </c>
    </row>
    <row r="215" spans="1:8" s="18" customFormat="1" x14ac:dyDescent="0.4">
      <c r="A215" s="16"/>
      <c r="B215" s="16"/>
      <c r="C215" s="16"/>
      <c r="D215" s="16"/>
      <c r="E215" s="17">
        <f>DATE(2004,3,15)</f>
        <v>38061</v>
      </c>
      <c r="F215" s="46" t="s">
        <v>51</v>
      </c>
      <c r="G215" s="16">
        <v>5</v>
      </c>
      <c r="H215" s="18">
        <v>49</v>
      </c>
    </row>
    <row r="216" spans="1:8" s="18" customFormat="1" x14ac:dyDescent="0.4">
      <c r="A216" s="16"/>
      <c r="B216" s="16"/>
      <c r="C216" s="16"/>
      <c r="D216" s="16"/>
      <c r="E216" s="17">
        <f>DATE(2004,3,18)</f>
        <v>38064</v>
      </c>
      <c r="F216" s="46" t="s">
        <v>51</v>
      </c>
      <c r="G216" s="16">
        <v>1</v>
      </c>
      <c r="H216" s="18">
        <v>49</v>
      </c>
    </row>
    <row r="217" spans="1:8" s="18" customFormat="1" x14ac:dyDescent="0.4">
      <c r="A217" s="16"/>
      <c r="B217" s="16"/>
      <c r="C217" s="16"/>
      <c r="D217" s="16"/>
      <c r="E217" s="17">
        <f>DATE(2004,3,21)</f>
        <v>38067</v>
      </c>
      <c r="F217" s="46" t="s">
        <v>51</v>
      </c>
      <c r="G217" s="16">
        <v>1</v>
      </c>
      <c r="H217" s="18">
        <v>49</v>
      </c>
    </row>
    <row r="218" spans="1:8" s="18" customFormat="1" x14ac:dyDescent="0.4">
      <c r="A218" s="16"/>
      <c r="B218" s="16"/>
      <c r="C218" s="16"/>
      <c r="D218" s="16"/>
      <c r="E218" s="17">
        <f>DATE(2004,3,28)</f>
        <v>38074</v>
      </c>
      <c r="F218" s="46" t="s">
        <v>51</v>
      </c>
      <c r="G218" s="16">
        <v>2</v>
      </c>
      <c r="H218" s="18">
        <v>49</v>
      </c>
    </row>
    <row r="219" spans="1:8" x14ac:dyDescent="0.4">
      <c r="A219" s="13">
        <v>45</v>
      </c>
      <c r="B219" s="13" t="s">
        <v>115</v>
      </c>
      <c r="C219" s="13" t="s">
        <v>113</v>
      </c>
      <c r="E219" s="14">
        <f>DATE(2004,5,4)</f>
        <v>38111</v>
      </c>
      <c r="F219" s="19" t="s">
        <v>51</v>
      </c>
      <c r="G219" s="13">
        <v>1</v>
      </c>
      <c r="H219" s="15">
        <v>49</v>
      </c>
    </row>
    <row r="220" spans="1:8" x14ac:dyDescent="0.4">
      <c r="E220" s="14">
        <f>DATE(2004,5,8)</f>
        <v>38115</v>
      </c>
      <c r="F220" s="19" t="s">
        <v>51</v>
      </c>
      <c r="G220" s="13">
        <v>2</v>
      </c>
      <c r="H220" s="15">
        <v>49</v>
      </c>
    </row>
    <row r="221" spans="1:8" x14ac:dyDescent="0.4">
      <c r="E221" s="14">
        <f>DATE(2004,5,13)</f>
        <v>38120</v>
      </c>
      <c r="F221" s="19" t="s">
        <v>51</v>
      </c>
      <c r="G221" s="13">
        <v>1</v>
      </c>
      <c r="H221" s="15">
        <v>49</v>
      </c>
    </row>
    <row r="222" spans="1:8" x14ac:dyDescent="0.4">
      <c r="E222" s="14">
        <f>DATE(2004,5,15)</f>
        <v>38122</v>
      </c>
      <c r="F222" s="19" t="s">
        <v>51</v>
      </c>
      <c r="G222" s="13">
        <v>1</v>
      </c>
      <c r="H222" s="15">
        <v>49</v>
      </c>
    </row>
    <row r="223" spans="1:8" x14ac:dyDescent="0.4">
      <c r="E223" s="14">
        <f>DATE(2004,5,16)</f>
        <v>38123</v>
      </c>
      <c r="F223" s="19" t="s">
        <v>51</v>
      </c>
      <c r="G223" s="13">
        <v>1</v>
      </c>
      <c r="H223" s="15">
        <v>49</v>
      </c>
    </row>
    <row r="224" spans="1:8" x14ac:dyDescent="0.4">
      <c r="E224" s="14">
        <f>DATE(2004,5,26)</f>
        <v>38133</v>
      </c>
      <c r="F224" s="19" t="s">
        <v>51</v>
      </c>
      <c r="G224" s="13">
        <v>1</v>
      </c>
      <c r="H224" s="15">
        <v>49</v>
      </c>
    </row>
    <row r="225" spans="1:8" x14ac:dyDescent="0.4">
      <c r="E225" s="14">
        <f>DATE(2004,5,28)</f>
        <v>38135</v>
      </c>
      <c r="F225" s="19" t="s">
        <v>51</v>
      </c>
      <c r="G225" s="13">
        <v>1</v>
      </c>
      <c r="H225" s="15">
        <v>49</v>
      </c>
    </row>
    <row r="226" spans="1:8" s="18" customFormat="1" x14ac:dyDescent="0.4">
      <c r="A226" s="16">
        <v>46</v>
      </c>
      <c r="B226" s="16" t="s">
        <v>174</v>
      </c>
      <c r="C226" s="16" t="s">
        <v>208</v>
      </c>
      <c r="D226" s="16"/>
      <c r="E226" s="17" t="s">
        <v>223</v>
      </c>
      <c r="F226" s="46" t="s">
        <v>51</v>
      </c>
      <c r="G226" s="16">
        <v>1</v>
      </c>
      <c r="H226" s="18">
        <v>49</v>
      </c>
    </row>
    <row r="227" spans="1:8" s="18" customFormat="1" x14ac:dyDescent="0.4">
      <c r="A227" s="16"/>
      <c r="B227" s="16" t="s">
        <v>115</v>
      </c>
      <c r="C227" s="16" t="s">
        <v>113</v>
      </c>
      <c r="D227" s="16"/>
      <c r="E227" s="17">
        <f>DATE(2004,6,1)</f>
        <v>38139</v>
      </c>
      <c r="F227" s="46" t="s">
        <v>51</v>
      </c>
      <c r="G227" s="16">
        <v>1</v>
      </c>
      <c r="H227" s="18">
        <v>49</v>
      </c>
    </row>
    <row r="228" spans="1:8" s="18" customFormat="1" x14ac:dyDescent="0.4">
      <c r="A228" s="16"/>
      <c r="B228" s="16"/>
      <c r="C228" s="16"/>
      <c r="D228" s="16"/>
      <c r="E228" s="17">
        <f>DATE(2004,6,2)</f>
        <v>38140</v>
      </c>
      <c r="F228" s="46" t="s">
        <v>51</v>
      </c>
      <c r="G228" s="16">
        <v>1</v>
      </c>
      <c r="H228" s="18">
        <v>49</v>
      </c>
    </row>
    <row r="229" spans="1:8" s="18" customFormat="1" x14ac:dyDescent="0.4">
      <c r="A229" s="16"/>
      <c r="B229" s="16"/>
      <c r="C229" s="16"/>
      <c r="D229" s="16"/>
      <c r="E229" s="17">
        <f>DATE(2004,6,11)</f>
        <v>38149</v>
      </c>
      <c r="F229" s="46" t="s">
        <v>51</v>
      </c>
      <c r="G229" s="16">
        <v>1</v>
      </c>
      <c r="H229" s="18">
        <v>49</v>
      </c>
    </row>
    <row r="230" spans="1:8" x14ac:dyDescent="0.4">
      <c r="A230" s="13">
        <v>47</v>
      </c>
      <c r="B230" s="13" t="s">
        <v>115</v>
      </c>
      <c r="C230" s="13" t="s">
        <v>113</v>
      </c>
      <c r="E230" s="14">
        <f>DATE(2004,8,20)</f>
        <v>38219</v>
      </c>
      <c r="F230" s="19" t="s">
        <v>51</v>
      </c>
      <c r="G230" s="13">
        <v>6</v>
      </c>
      <c r="H230" s="15">
        <v>49</v>
      </c>
    </row>
    <row r="231" spans="1:8" x14ac:dyDescent="0.4">
      <c r="E231" s="14">
        <f>DATE(2004,8,24)</f>
        <v>38223</v>
      </c>
      <c r="F231" s="19" t="s">
        <v>51</v>
      </c>
      <c r="G231" s="13">
        <v>1</v>
      </c>
      <c r="H231" s="15">
        <v>49</v>
      </c>
    </row>
    <row r="232" spans="1:8" s="18" customFormat="1" x14ac:dyDescent="0.4">
      <c r="A232" s="16">
        <v>48</v>
      </c>
      <c r="B232" s="16" t="s">
        <v>224</v>
      </c>
      <c r="C232" s="16"/>
      <c r="D232" s="16"/>
      <c r="E232" s="17" t="s">
        <v>50</v>
      </c>
      <c r="F232" s="46" t="s">
        <v>51</v>
      </c>
      <c r="G232" s="16">
        <v>8</v>
      </c>
      <c r="H232" s="18">
        <v>49</v>
      </c>
    </row>
    <row r="233" spans="1:8" x14ac:dyDescent="0.4">
      <c r="A233" s="13">
        <v>49</v>
      </c>
      <c r="B233" s="13" t="s">
        <v>225</v>
      </c>
      <c r="E233" s="14" t="s">
        <v>50</v>
      </c>
      <c r="F233" s="19" t="s">
        <v>87</v>
      </c>
      <c r="G233" s="13">
        <v>9</v>
      </c>
      <c r="H233" s="15">
        <v>49</v>
      </c>
    </row>
    <row r="234" spans="1:8" s="18" customFormat="1" x14ac:dyDescent="0.4">
      <c r="A234" s="16">
        <v>50</v>
      </c>
      <c r="B234" s="16" t="s">
        <v>226</v>
      </c>
      <c r="C234" s="16"/>
      <c r="D234" s="16"/>
      <c r="E234" s="17" t="s">
        <v>227</v>
      </c>
      <c r="F234" s="46" t="s">
        <v>87</v>
      </c>
      <c r="G234" s="16">
        <v>15</v>
      </c>
      <c r="H234" s="18">
        <v>49</v>
      </c>
    </row>
    <row r="235" spans="1:8" x14ac:dyDescent="0.4">
      <c r="A235" s="13">
        <v>51</v>
      </c>
      <c r="B235" s="13" t="s">
        <v>228</v>
      </c>
      <c r="E235" s="14" t="s">
        <v>229</v>
      </c>
      <c r="F235" s="19" t="s">
        <v>87</v>
      </c>
      <c r="G235" s="13">
        <v>32</v>
      </c>
      <c r="H235" s="15">
        <v>49</v>
      </c>
    </row>
    <row r="236" spans="1:8" s="18" customFormat="1" x14ac:dyDescent="0.4">
      <c r="A236" s="16">
        <v>52</v>
      </c>
      <c r="B236" s="16" t="s">
        <v>230</v>
      </c>
      <c r="C236" s="16"/>
      <c r="D236" s="16"/>
      <c r="E236" s="17"/>
      <c r="F236" s="46"/>
      <c r="G236" s="16">
        <v>56</v>
      </c>
      <c r="H236" s="18">
        <v>49</v>
      </c>
    </row>
    <row r="237" spans="1:8" x14ac:dyDescent="0.4">
      <c r="G237" s="13">
        <f>SUM(G3:G236)</f>
        <v>632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AF09-136E-4C1B-A4B1-9346A5B56A10}">
  <dimension ref="A1:H16"/>
  <sheetViews>
    <sheetView workbookViewId="0">
      <selection activeCell="G16" sqref="G16"/>
    </sheetView>
  </sheetViews>
  <sheetFormatPr defaultColWidth="11.5546875" defaultRowHeight="12" x14ac:dyDescent="0.4"/>
  <cols>
    <col min="1" max="1" width="3.44140625" style="13" customWidth="1"/>
    <col min="2" max="2" width="59.44140625" style="13" customWidth="1"/>
    <col min="3" max="3" width="16.33203125" style="13" customWidth="1"/>
    <col min="4" max="4" width="24.6640625" style="13" customWidth="1"/>
    <col min="5" max="5" width="13.88671875" style="14" customWidth="1"/>
    <col min="6" max="6" width="8.109375" style="19" customWidth="1"/>
    <col min="7" max="7" width="3.886718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231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232</v>
      </c>
      <c r="D3" s="13" t="s">
        <v>233</v>
      </c>
      <c r="E3" s="14">
        <f>DATE(1966,6,29)</f>
        <v>24287</v>
      </c>
      <c r="F3" s="19" t="s">
        <v>51</v>
      </c>
      <c r="G3" s="13">
        <v>55</v>
      </c>
      <c r="H3" s="15">
        <v>48</v>
      </c>
    </row>
    <row r="4" spans="1:8" s="41" customFormat="1" x14ac:dyDescent="0.4">
      <c r="A4" s="39">
        <v>2</v>
      </c>
      <c r="B4" s="39" t="s">
        <v>234</v>
      </c>
      <c r="C4" s="39" t="s">
        <v>235</v>
      </c>
      <c r="D4" s="39" t="s">
        <v>233</v>
      </c>
      <c r="E4" s="56">
        <f>DATE(1965,7,23)</f>
        <v>23946</v>
      </c>
      <c r="F4" s="40" t="s">
        <v>51</v>
      </c>
      <c r="G4" s="39">
        <v>2</v>
      </c>
      <c r="H4" s="41">
        <v>48</v>
      </c>
    </row>
    <row r="5" spans="1:8" x14ac:dyDescent="0.4">
      <c r="A5" s="13">
        <v>3</v>
      </c>
      <c r="B5" s="13" t="s">
        <v>234</v>
      </c>
      <c r="C5" s="13" t="s">
        <v>235</v>
      </c>
      <c r="D5" s="13" t="s">
        <v>233</v>
      </c>
      <c r="E5" s="14">
        <f>DATE(1965,8,2)</f>
        <v>23956</v>
      </c>
      <c r="F5" s="19" t="s">
        <v>51</v>
      </c>
      <c r="G5" s="13">
        <v>2</v>
      </c>
      <c r="H5" s="15">
        <v>48</v>
      </c>
    </row>
    <row r="6" spans="1:8" x14ac:dyDescent="0.4">
      <c r="E6" s="14">
        <f>DATE(1965,8,3)</f>
        <v>23957</v>
      </c>
      <c r="F6" s="19" t="s">
        <v>51</v>
      </c>
      <c r="G6" s="13">
        <v>1</v>
      </c>
      <c r="H6" s="15">
        <v>48</v>
      </c>
    </row>
    <row r="7" spans="1:8" s="41" customFormat="1" x14ac:dyDescent="0.4">
      <c r="A7" s="39">
        <v>4</v>
      </c>
      <c r="B7" s="39" t="s">
        <v>236</v>
      </c>
      <c r="C7" s="39" t="s">
        <v>235</v>
      </c>
      <c r="D7" s="39" t="s">
        <v>233</v>
      </c>
      <c r="E7" s="56">
        <f>DATE(1965,12,5)</f>
        <v>24081</v>
      </c>
      <c r="F7" s="40" t="s">
        <v>51</v>
      </c>
      <c r="G7" s="39">
        <v>1</v>
      </c>
      <c r="H7" s="41">
        <v>48</v>
      </c>
    </row>
    <row r="8" spans="1:8" x14ac:dyDescent="0.4">
      <c r="A8" s="13">
        <v>5</v>
      </c>
      <c r="B8" s="13" t="s">
        <v>236</v>
      </c>
      <c r="C8" s="13" t="s">
        <v>235</v>
      </c>
      <c r="D8" s="13" t="s">
        <v>233</v>
      </c>
      <c r="E8" s="14">
        <f>DATE(1968,7,28)</f>
        <v>25047</v>
      </c>
      <c r="F8" s="19" t="s">
        <v>51</v>
      </c>
      <c r="G8" s="13">
        <v>1</v>
      </c>
      <c r="H8" s="15">
        <v>48</v>
      </c>
    </row>
    <row r="9" spans="1:8" s="41" customFormat="1" x14ac:dyDescent="0.4">
      <c r="A9" s="39">
        <v>6</v>
      </c>
      <c r="B9" s="39" t="s">
        <v>234</v>
      </c>
      <c r="C9" s="39" t="s">
        <v>237</v>
      </c>
      <c r="D9" s="39" t="s">
        <v>233</v>
      </c>
      <c r="E9" s="56">
        <f>DATE(1969,1,6)</f>
        <v>25209</v>
      </c>
      <c r="F9" s="40" t="s">
        <v>51</v>
      </c>
      <c r="G9" s="39">
        <v>2</v>
      </c>
      <c r="H9" s="41">
        <v>48</v>
      </c>
    </row>
    <row r="10" spans="1:8" s="41" customFormat="1" x14ac:dyDescent="0.4">
      <c r="A10" s="39"/>
      <c r="B10" s="39"/>
      <c r="C10" s="39"/>
      <c r="D10" s="39"/>
      <c r="E10" s="56">
        <f>DATE(1969,1,7)</f>
        <v>25210</v>
      </c>
      <c r="F10" s="40" t="s">
        <v>51</v>
      </c>
      <c r="G10" s="39">
        <v>2</v>
      </c>
      <c r="H10" s="41">
        <v>48</v>
      </c>
    </row>
    <row r="11" spans="1:8" s="41" customFormat="1" x14ac:dyDescent="0.4">
      <c r="A11" s="39"/>
      <c r="B11" s="39"/>
      <c r="C11" s="39"/>
      <c r="D11" s="39"/>
      <c r="E11" s="56">
        <f>DATE(1969,1,11)</f>
        <v>25214</v>
      </c>
      <c r="F11" s="40" t="s">
        <v>51</v>
      </c>
      <c r="G11" s="39">
        <v>2</v>
      </c>
      <c r="H11" s="41">
        <v>48</v>
      </c>
    </row>
    <row r="12" spans="1:8" s="41" customFormat="1" x14ac:dyDescent="0.4">
      <c r="A12" s="39"/>
      <c r="B12" s="39"/>
      <c r="C12" s="39"/>
      <c r="D12" s="39"/>
      <c r="E12" s="56">
        <f>DATE(1969,1,12)</f>
        <v>25215</v>
      </c>
      <c r="F12" s="40" t="s">
        <v>51</v>
      </c>
      <c r="G12" s="39">
        <v>1</v>
      </c>
      <c r="H12" s="41">
        <v>48</v>
      </c>
    </row>
    <row r="13" spans="1:8" x14ac:dyDescent="0.4">
      <c r="A13" s="13">
        <v>7</v>
      </c>
      <c r="B13" s="13" t="s">
        <v>236</v>
      </c>
      <c r="C13" s="13" t="s">
        <v>235</v>
      </c>
      <c r="D13" s="13" t="s">
        <v>233</v>
      </c>
      <c r="E13" s="14">
        <f>DATE(1969,3,6)</f>
        <v>25268</v>
      </c>
      <c r="F13" s="19" t="s">
        <v>51</v>
      </c>
      <c r="G13" s="13">
        <v>1</v>
      </c>
      <c r="H13" s="15">
        <v>48</v>
      </c>
    </row>
    <row r="14" spans="1:8" x14ac:dyDescent="0.4">
      <c r="E14" s="14">
        <f>DATE(1969,3,10)</f>
        <v>25272</v>
      </c>
      <c r="F14" s="19" t="s">
        <v>51</v>
      </c>
      <c r="G14" s="13">
        <v>2</v>
      </c>
      <c r="H14" s="15">
        <v>48</v>
      </c>
    </row>
    <row r="15" spans="1:8" x14ac:dyDescent="0.4">
      <c r="E15" s="14">
        <f>DATE(1969,3,26)</f>
        <v>25288</v>
      </c>
      <c r="F15" s="19" t="s">
        <v>51</v>
      </c>
      <c r="G15" s="13">
        <v>2</v>
      </c>
      <c r="H15" s="15">
        <v>48</v>
      </c>
    </row>
    <row r="16" spans="1:8" x14ac:dyDescent="0.4">
      <c r="G16" s="13">
        <f>SUM(G3:G15)</f>
        <v>74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FB9E4-F05B-4253-9C7F-46A0CE30D39B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5546875" style="13" customWidth="1"/>
    <col min="2" max="2" width="22.6640625" style="13" customWidth="1"/>
    <col min="3" max="3" width="17.33203125" style="13" customWidth="1"/>
    <col min="4" max="4" width="23.6640625" style="13" customWidth="1"/>
    <col min="5" max="5" width="11.21875" style="19" customWidth="1"/>
    <col min="6" max="6" width="11.77734375" style="13" customWidth="1"/>
    <col min="7" max="7" width="4.21875" style="13" customWidth="1"/>
    <col min="8" max="8" width="5.44140625" style="15" customWidth="1"/>
    <col min="9" max="16384" width="11.5546875" style="15"/>
  </cols>
  <sheetData>
    <row r="1" spans="1:8" s="21" customFormat="1" x14ac:dyDescent="0.4">
      <c r="A1" s="95" t="s">
        <v>40</v>
      </c>
      <c r="B1" s="95"/>
      <c r="C1" s="95"/>
      <c r="E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49</v>
      </c>
      <c r="E3" s="19" t="s">
        <v>50</v>
      </c>
      <c r="F3" s="19" t="s">
        <v>51</v>
      </c>
      <c r="G3" s="13">
        <v>8</v>
      </c>
      <c r="H3" s="15">
        <v>45</v>
      </c>
    </row>
    <row r="4" spans="1:8" x14ac:dyDescent="0.4">
      <c r="G4" s="13">
        <f>SUM(G3)</f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E682C-5F70-49A3-A7CE-4D4FEE935660}">
  <dimension ref="A1:H74"/>
  <sheetViews>
    <sheetView topLeftCell="B57" workbookViewId="0">
      <selection activeCell="F74" sqref="F74"/>
    </sheetView>
  </sheetViews>
  <sheetFormatPr defaultColWidth="11.5546875" defaultRowHeight="12" x14ac:dyDescent="0.4"/>
  <cols>
    <col min="1" max="1" width="3.33203125" style="13" customWidth="1"/>
    <col min="2" max="2" width="39" style="13" customWidth="1"/>
    <col min="3" max="3" width="15.77734375" style="13" customWidth="1"/>
    <col min="4" max="4" width="30.44140625" style="13" customWidth="1"/>
    <col min="5" max="5" width="13.44140625" style="30" customWidth="1"/>
    <col min="6" max="6" width="12.44140625" style="19" customWidth="1"/>
    <col min="7" max="7" width="15.33203125" style="13" customWidth="1"/>
    <col min="8" max="8" width="4.109375" style="15" customWidth="1"/>
    <col min="9" max="16384" width="11.5546875" style="15"/>
  </cols>
  <sheetData>
    <row r="1" spans="1:8" s="21" customFormat="1" x14ac:dyDescent="0.4">
      <c r="A1" s="95" t="s">
        <v>238</v>
      </c>
      <c r="B1" s="95"/>
      <c r="C1" s="95"/>
      <c r="E1" s="34"/>
      <c r="F1" s="81"/>
    </row>
    <row r="2" spans="1:8" s="12" customFormat="1" x14ac:dyDescent="0.4">
      <c r="A2" s="10" t="s">
        <v>0</v>
      </c>
      <c r="B2" s="10" t="s">
        <v>41</v>
      </c>
      <c r="C2" s="10" t="s">
        <v>42</v>
      </c>
      <c r="D2" s="10" t="s">
        <v>43</v>
      </c>
      <c r="E2" s="32" t="s">
        <v>44</v>
      </c>
      <c r="F2" s="76" t="s">
        <v>45</v>
      </c>
      <c r="G2" s="10" t="s">
        <v>46</v>
      </c>
      <c r="H2" s="12" t="s">
        <v>47</v>
      </c>
    </row>
    <row r="3" spans="1:8" x14ac:dyDescent="0.4">
      <c r="A3" s="13">
        <v>1</v>
      </c>
      <c r="B3" s="13" t="s">
        <v>65</v>
      </c>
      <c r="C3" s="13" t="s">
        <v>64</v>
      </c>
      <c r="D3" s="13" t="s">
        <v>239</v>
      </c>
      <c r="E3" s="30">
        <f>DATE(1992,8,20)</f>
        <v>33836</v>
      </c>
      <c r="F3" s="19" t="s">
        <v>51</v>
      </c>
      <c r="G3" s="13">
        <v>18</v>
      </c>
      <c r="H3" s="15">
        <v>48</v>
      </c>
    </row>
    <row r="4" spans="1:8" s="18" customFormat="1" x14ac:dyDescent="0.4">
      <c r="A4" s="16">
        <v>2</v>
      </c>
      <c r="B4" s="16" t="s">
        <v>53</v>
      </c>
      <c r="C4" s="16" t="s">
        <v>64</v>
      </c>
      <c r="D4" s="16" t="s">
        <v>239</v>
      </c>
      <c r="E4" s="31">
        <f>DATE(1993,3,24)</f>
        <v>34052</v>
      </c>
      <c r="F4" s="46" t="s">
        <v>51</v>
      </c>
      <c r="G4" s="16">
        <v>84</v>
      </c>
      <c r="H4" s="18">
        <v>48</v>
      </c>
    </row>
    <row r="5" spans="1:8" x14ac:dyDescent="0.4">
      <c r="A5" s="13">
        <v>3</v>
      </c>
      <c r="B5" s="13" t="s">
        <v>55</v>
      </c>
      <c r="C5" s="13" t="s">
        <v>64</v>
      </c>
      <c r="D5" s="13" t="s">
        <v>239</v>
      </c>
      <c r="E5" s="30">
        <f>DATE(1994,3,4)</f>
        <v>34397</v>
      </c>
      <c r="F5" s="19" t="s">
        <v>51</v>
      </c>
      <c r="G5" s="13">
        <v>36</v>
      </c>
      <c r="H5" s="15">
        <v>48</v>
      </c>
    </row>
    <row r="6" spans="1:8" s="18" customFormat="1" x14ac:dyDescent="0.4">
      <c r="A6" s="16">
        <v>4</v>
      </c>
      <c r="B6" s="16" t="s">
        <v>56</v>
      </c>
      <c r="C6" s="16" t="s">
        <v>64</v>
      </c>
      <c r="D6" s="16" t="s">
        <v>239</v>
      </c>
      <c r="E6" s="31">
        <f>DATE(1995,8,26)</f>
        <v>34937</v>
      </c>
      <c r="F6" s="46" t="s">
        <v>51</v>
      </c>
      <c r="G6" s="16">
        <v>13</v>
      </c>
      <c r="H6" s="18">
        <v>48</v>
      </c>
    </row>
    <row r="7" spans="1:8" x14ac:dyDescent="0.4">
      <c r="A7" s="13">
        <v>5</v>
      </c>
      <c r="B7" s="13" t="s">
        <v>67</v>
      </c>
      <c r="C7" s="13" t="s">
        <v>64</v>
      </c>
      <c r="D7" s="13" t="s">
        <v>239</v>
      </c>
      <c r="E7" s="30">
        <f>DATE(1996,8,19)</f>
        <v>35296</v>
      </c>
      <c r="F7" s="19" t="s">
        <v>51</v>
      </c>
      <c r="G7" s="13">
        <v>25</v>
      </c>
      <c r="H7" s="15">
        <v>48</v>
      </c>
    </row>
    <row r="8" spans="1:8" s="18" customFormat="1" x14ac:dyDescent="0.4">
      <c r="A8" s="16">
        <v>6</v>
      </c>
      <c r="B8" s="16" t="s">
        <v>68</v>
      </c>
      <c r="C8" s="16" t="s">
        <v>64</v>
      </c>
      <c r="D8" s="16" t="s">
        <v>239</v>
      </c>
      <c r="E8" s="31">
        <f>DATE(1997,12,19)</f>
        <v>35783</v>
      </c>
      <c r="F8" s="46" t="s">
        <v>51</v>
      </c>
      <c r="G8" s="16">
        <v>37</v>
      </c>
      <c r="H8" s="18">
        <v>48</v>
      </c>
    </row>
    <row r="9" spans="1:8" x14ac:dyDescent="0.4">
      <c r="A9" s="13">
        <v>7</v>
      </c>
      <c r="B9" s="13" t="s">
        <v>240</v>
      </c>
      <c r="C9" s="13" t="s">
        <v>64</v>
      </c>
      <c r="D9" s="13" t="s">
        <v>239</v>
      </c>
      <c r="E9" s="30">
        <f>DATE(1998,5,5)</f>
        <v>35920</v>
      </c>
      <c r="F9" s="19" t="s">
        <v>51</v>
      </c>
      <c r="G9" s="13">
        <v>26</v>
      </c>
      <c r="H9" s="15">
        <v>48</v>
      </c>
    </row>
    <row r="10" spans="1:8" s="18" customFormat="1" x14ac:dyDescent="0.4">
      <c r="A10" s="16">
        <v>8</v>
      </c>
      <c r="B10" s="16" t="s">
        <v>241</v>
      </c>
      <c r="C10" s="16"/>
      <c r="D10" s="16"/>
      <c r="E10" s="31">
        <f>DATE(1994,4,11)</f>
        <v>34435</v>
      </c>
      <c r="F10" s="46" t="s">
        <v>51</v>
      </c>
      <c r="G10" s="16">
        <v>1</v>
      </c>
      <c r="H10" s="18">
        <v>48</v>
      </c>
    </row>
    <row r="11" spans="1:8" x14ac:dyDescent="0.4">
      <c r="A11" s="13">
        <v>9</v>
      </c>
      <c r="B11" s="13" t="s">
        <v>242</v>
      </c>
      <c r="C11" s="13" t="s">
        <v>243</v>
      </c>
      <c r="D11" s="13" t="s">
        <v>244</v>
      </c>
      <c r="E11" s="30">
        <f>DATE(1995,3,16)</f>
        <v>34774</v>
      </c>
      <c r="F11" s="19" t="s">
        <v>51</v>
      </c>
      <c r="G11" s="13">
        <v>11</v>
      </c>
      <c r="H11" s="15">
        <v>48</v>
      </c>
    </row>
    <row r="12" spans="1:8" s="18" customFormat="1" x14ac:dyDescent="0.4">
      <c r="A12" s="16">
        <v>10</v>
      </c>
      <c r="B12" s="16" t="s">
        <v>147</v>
      </c>
      <c r="C12" s="16" t="s">
        <v>75</v>
      </c>
      <c r="D12" s="16"/>
      <c r="E12" s="31">
        <f>DATE(1992,1,3)</f>
        <v>33606</v>
      </c>
      <c r="F12" s="46" t="s">
        <v>245</v>
      </c>
      <c r="G12" s="16">
        <v>5</v>
      </c>
      <c r="H12" s="18">
        <v>48</v>
      </c>
    </row>
    <row r="13" spans="1:8" s="18" customFormat="1" x14ac:dyDescent="0.4">
      <c r="A13" s="16"/>
      <c r="B13" s="16"/>
      <c r="C13" s="16"/>
      <c r="D13" s="16"/>
      <c r="E13" s="31">
        <f>DATE(1992,1,4)</f>
        <v>33607</v>
      </c>
      <c r="F13" s="46" t="s">
        <v>245</v>
      </c>
      <c r="G13" s="16">
        <v>2</v>
      </c>
      <c r="H13" s="18">
        <v>48</v>
      </c>
    </row>
    <row r="14" spans="1:8" s="18" customFormat="1" x14ac:dyDescent="0.4">
      <c r="A14" s="16"/>
      <c r="B14" s="16"/>
      <c r="C14" s="16"/>
      <c r="D14" s="16"/>
      <c r="E14" s="31">
        <f>DATE(1992,1,7)</f>
        <v>33610</v>
      </c>
      <c r="F14" s="46" t="s">
        <v>245</v>
      </c>
      <c r="G14" s="16">
        <v>1</v>
      </c>
      <c r="H14" s="18">
        <v>48</v>
      </c>
    </row>
    <row r="15" spans="1:8" s="18" customFormat="1" x14ac:dyDescent="0.4">
      <c r="A15" s="16"/>
      <c r="B15" s="16"/>
      <c r="C15" s="16"/>
      <c r="D15" s="16"/>
      <c r="E15" s="31">
        <f>DATE(1992,1,9)</f>
        <v>33612</v>
      </c>
      <c r="F15" s="46" t="s">
        <v>245</v>
      </c>
      <c r="G15" s="16">
        <v>4</v>
      </c>
      <c r="H15" s="18">
        <v>48</v>
      </c>
    </row>
    <row r="16" spans="1:8" s="18" customFormat="1" x14ac:dyDescent="0.4">
      <c r="A16" s="16"/>
      <c r="B16" s="16"/>
      <c r="C16" s="16"/>
      <c r="D16" s="16"/>
      <c r="E16" s="31">
        <f>DATE(1992,1,13)</f>
        <v>33616</v>
      </c>
      <c r="F16" s="46" t="s">
        <v>245</v>
      </c>
      <c r="G16" s="16">
        <v>5</v>
      </c>
      <c r="H16" s="18">
        <v>48</v>
      </c>
    </row>
    <row r="17" spans="1:8" s="18" customFormat="1" x14ac:dyDescent="0.4">
      <c r="A17" s="16"/>
      <c r="B17" s="16"/>
      <c r="C17" s="16"/>
      <c r="D17" s="16"/>
      <c r="E17" s="31">
        <f>DATE(1992,1,14)</f>
        <v>33617</v>
      </c>
      <c r="F17" s="46" t="s">
        <v>245</v>
      </c>
      <c r="G17" s="16">
        <v>4</v>
      </c>
      <c r="H17" s="18">
        <v>48</v>
      </c>
    </row>
    <row r="18" spans="1:8" s="18" customFormat="1" x14ac:dyDescent="0.4">
      <c r="A18" s="16"/>
      <c r="B18" s="16"/>
      <c r="C18" s="16"/>
      <c r="D18" s="16"/>
      <c r="E18" s="31">
        <f>DATE(1992,1,15)</f>
        <v>33618</v>
      </c>
      <c r="F18" s="46" t="s">
        <v>245</v>
      </c>
      <c r="G18" s="16">
        <v>5</v>
      </c>
      <c r="H18" s="18">
        <v>48</v>
      </c>
    </row>
    <row r="19" spans="1:8" x14ac:dyDescent="0.4">
      <c r="A19" s="15">
        <v>11</v>
      </c>
      <c r="B19" s="15" t="s">
        <v>112</v>
      </c>
      <c r="C19" s="15" t="s">
        <v>113</v>
      </c>
      <c r="D19" s="15"/>
      <c r="E19" s="24">
        <f>DATE(1992,3,16)</f>
        <v>33679</v>
      </c>
      <c r="F19" s="19" t="s">
        <v>245</v>
      </c>
      <c r="G19" s="15">
        <v>6</v>
      </c>
      <c r="H19" s="15">
        <v>48</v>
      </c>
    </row>
    <row r="20" spans="1:8" x14ac:dyDescent="0.4">
      <c r="A20" s="15"/>
      <c r="B20" s="15"/>
      <c r="C20" s="15"/>
      <c r="D20" s="15"/>
      <c r="E20" s="24">
        <f>DATE(1992,3,17)</f>
        <v>33680</v>
      </c>
      <c r="F20" s="19" t="s">
        <v>245</v>
      </c>
      <c r="G20" s="15">
        <v>10</v>
      </c>
      <c r="H20" s="15">
        <v>48</v>
      </c>
    </row>
    <row r="21" spans="1:8" x14ac:dyDescent="0.4">
      <c r="A21" s="15"/>
      <c r="B21" s="15"/>
      <c r="C21" s="15"/>
      <c r="D21" s="15"/>
      <c r="E21" s="24">
        <f>DATE(1992,3,18)</f>
        <v>33681</v>
      </c>
      <c r="F21" s="19" t="s">
        <v>245</v>
      </c>
      <c r="G21" s="15">
        <v>4</v>
      </c>
      <c r="H21" s="15">
        <v>48</v>
      </c>
    </row>
    <row r="22" spans="1:8" x14ac:dyDescent="0.4">
      <c r="A22" s="15"/>
      <c r="B22" s="15"/>
      <c r="C22" s="15"/>
      <c r="D22" s="15"/>
      <c r="E22" s="24">
        <f>DATE(1992,3,19)</f>
        <v>33682</v>
      </c>
      <c r="F22" s="19" t="s">
        <v>245</v>
      </c>
      <c r="G22" s="15">
        <v>4</v>
      </c>
      <c r="H22" s="15">
        <v>48</v>
      </c>
    </row>
    <row r="23" spans="1:8" s="18" customFormat="1" x14ac:dyDescent="0.4">
      <c r="A23" s="16">
        <v>12</v>
      </c>
      <c r="B23" s="16" t="s">
        <v>112</v>
      </c>
      <c r="C23" s="16" t="s">
        <v>113</v>
      </c>
      <c r="D23" s="16"/>
      <c r="E23" s="31">
        <f>DATE(1992,4,3)</f>
        <v>33697</v>
      </c>
      <c r="F23" s="46" t="s">
        <v>245</v>
      </c>
      <c r="G23" s="16">
        <v>2</v>
      </c>
      <c r="H23" s="18">
        <v>48</v>
      </c>
    </row>
    <row r="24" spans="1:8" s="18" customFormat="1" x14ac:dyDescent="0.4">
      <c r="A24" s="16"/>
      <c r="B24" s="16"/>
      <c r="C24" s="16"/>
      <c r="D24" s="16"/>
      <c r="E24" s="31">
        <f>DATE(1992,4,4)</f>
        <v>33698</v>
      </c>
      <c r="F24" s="46" t="s">
        <v>245</v>
      </c>
      <c r="G24" s="16">
        <v>1</v>
      </c>
      <c r="H24" s="18">
        <v>48</v>
      </c>
    </row>
    <row r="25" spans="1:8" s="18" customFormat="1" x14ac:dyDescent="0.4">
      <c r="A25" s="16"/>
      <c r="B25" s="16"/>
      <c r="C25" s="16"/>
      <c r="D25" s="16"/>
      <c r="E25" s="31">
        <f>DATE(1992,4,12)</f>
        <v>33706</v>
      </c>
      <c r="F25" s="46" t="s">
        <v>245</v>
      </c>
      <c r="G25" s="16">
        <v>3</v>
      </c>
      <c r="H25" s="18">
        <v>48</v>
      </c>
    </row>
    <row r="26" spans="1:8" x14ac:dyDescent="0.4">
      <c r="A26" s="15">
        <v>13</v>
      </c>
      <c r="B26" s="15" t="s">
        <v>112</v>
      </c>
      <c r="C26" s="15" t="s">
        <v>113</v>
      </c>
      <c r="D26" s="15"/>
      <c r="E26" s="24">
        <f>DATE(1992,4,13)</f>
        <v>33707</v>
      </c>
      <c r="F26" s="19" t="s">
        <v>245</v>
      </c>
      <c r="G26" s="15">
        <v>4</v>
      </c>
      <c r="H26" s="15">
        <v>48</v>
      </c>
    </row>
    <row r="27" spans="1:8" x14ac:dyDescent="0.4">
      <c r="A27" s="15"/>
      <c r="B27" s="15"/>
      <c r="C27" s="15"/>
      <c r="D27" s="15"/>
      <c r="E27" s="24">
        <f>DATE(1992,4,14)</f>
        <v>33708</v>
      </c>
      <c r="F27" s="19" t="s">
        <v>245</v>
      </c>
      <c r="G27" s="15">
        <v>4</v>
      </c>
      <c r="H27" s="15">
        <v>48</v>
      </c>
    </row>
    <row r="28" spans="1:8" x14ac:dyDescent="0.4">
      <c r="A28" s="15"/>
      <c r="B28" s="15"/>
      <c r="C28" s="15"/>
      <c r="D28" s="15"/>
      <c r="E28" s="24">
        <f>DATE(1992,4,15)</f>
        <v>33709</v>
      </c>
      <c r="F28" s="19" t="s">
        <v>245</v>
      </c>
      <c r="G28" s="15">
        <v>4</v>
      </c>
      <c r="H28" s="15">
        <v>48</v>
      </c>
    </row>
    <row r="29" spans="1:8" s="18" customFormat="1" x14ac:dyDescent="0.4">
      <c r="A29" s="16">
        <v>14</v>
      </c>
      <c r="B29" s="16" t="s">
        <v>112</v>
      </c>
      <c r="C29" s="16" t="s">
        <v>113</v>
      </c>
      <c r="D29" s="16"/>
      <c r="E29" s="31">
        <f>DATE(1992,10,10)</f>
        <v>33887</v>
      </c>
      <c r="F29" s="46" t="s">
        <v>245</v>
      </c>
      <c r="G29" s="16">
        <v>2</v>
      </c>
      <c r="H29" s="18">
        <v>48</v>
      </c>
    </row>
    <row r="30" spans="1:8" s="18" customFormat="1" x14ac:dyDescent="0.4">
      <c r="A30" s="16"/>
      <c r="B30" s="16"/>
      <c r="C30" s="16"/>
      <c r="D30" s="16"/>
      <c r="E30" s="31">
        <f>DATE(1992,10,12)</f>
        <v>33889</v>
      </c>
      <c r="F30" s="46" t="s">
        <v>245</v>
      </c>
      <c r="G30" s="16">
        <v>6</v>
      </c>
      <c r="H30" s="18">
        <v>48</v>
      </c>
    </row>
    <row r="31" spans="1:8" s="18" customFormat="1" x14ac:dyDescent="0.4">
      <c r="A31" s="16"/>
      <c r="B31" s="16"/>
      <c r="C31" s="16"/>
      <c r="D31" s="16"/>
      <c r="E31" s="31">
        <f>DATE(1992,10,13)</f>
        <v>33890</v>
      </c>
      <c r="F31" s="46" t="s">
        <v>245</v>
      </c>
      <c r="G31" s="16">
        <v>4</v>
      </c>
      <c r="H31" s="18">
        <v>48</v>
      </c>
    </row>
    <row r="32" spans="1:8" s="18" customFormat="1" x14ac:dyDescent="0.4">
      <c r="A32" s="16"/>
      <c r="B32" s="16"/>
      <c r="C32" s="16"/>
      <c r="D32" s="16"/>
      <c r="E32" s="31">
        <f>DATE(1992,10,19)</f>
        <v>33896</v>
      </c>
      <c r="F32" s="46" t="s">
        <v>245</v>
      </c>
      <c r="G32" s="16">
        <v>4</v>
      </c>
      <c r="H32" s="18">
        <v>48</v>
      </c>
    </row>
    <row r="33" spans="1:8" s="18" customFormat="1" x14ac:dyDescent="0.4">
      <c r="A33" s="16"/>
      <c r="B33" s="16"/>
      <c r="C33" s="16"/>
      <c r="D33" s="16"/>
      <c r="E33" s="31">
        <f>DATE(1992,10,20)</f>
        <v>33897</v>
      </c>
      <c r="F33" s="46" t="s">
        <v>245</v>
      </c>
      <c r="G33" s="16">
        <v>2</v>
      </c>
      <c r="H33" s="18">
        <v>48</v>
      </c>
    </row>
    <row r="34" spans="1:8" s="18" customFormat="1" x14ac:dyDescent="0.4">
      <c r="A34" s="16"/>
      <c r="B34" s="16"/>
      <c r="C34" s="16"/>
      <c r="D34" s="16"/>
      <c r="E34" s="31">
        <f>DATE(1992,10,22)</f>
        <v>33899</v>
      </c>
      <c r="F34" s="46" t="s">
        <v>245</v>
      </c>
      <c r="G34" s="16">
        <v>2</v>
      </c>
      <c r="H34" s="18">
        <v>48</v>
      </c>
    </row>
    <row r="35" spans="1:8" s="18" customFormat="1" x14ac:dyDescent="0.4">
      <c r="A35" s="16"/>
      <c r="B35" s="16"/>
      <c r="C35" s="16"/>
      <c r="D35" s="16"/>
      <c r="E35" s="31">
        <f>DATE(1992,10,23)</f>
        <v>33900</v>
      </c>
      <c r="F35" s="46" t="s">
        <v>245</v>
      </c>
      <c r="G35" s="16">
        <v>3</v>
      </c>
      <c r="H35" s="18">
        <v>48</v>
      </c>
    </row>
    <row r="36" spans="1:8" x14ac:dyDescent="0.4">
      <c r="A36" s="15">
        <v>15</v>
      </c>
      <c r="B36" s="15" t="s">
        <v>112</v>
      </c>
      <c r="C36" s="15" t="s">
        <v>113</v>
      </c>
      <c r="D36" s="15"/>
      <c r="E36" s="24">
        <f>DATE(1993,3,10)</f>
        <v>34038</v>
      </c>
      <c r="F36" s="19" t="s">
        <v>51</v>
      </c>
      <c r="G36" s="15">
        <v>9</v>
      </c>
      <c r="H36" s="15">
        <v>48</v>
      </c>
    </row>
    <row r="37" spans="1:8" x14ac:dyDescent="0.4">
      <c r="A37" s="15"/>
      <c r="B37" s="15"/>
      <c r="C37" s="15"/>
      <c r="D37" s="15"/>
      <c r="E37" s="24">
        <f>DATE(1993,3,11)</f>
        <v>34039</v>
      </c>
      <c r="F37" s="19" t="s">
        <v>51</v>
      </c>
      <c r="G37" s="15">
        <v>8</v>
      </c>
      <c r="H37" s="15">
        <v>48</v>
      </c>
    </row>
    <row r="38" spans="1:8" x14ac:dyDescent="0.4">
      <c r="A38" s="15"/>
      <c r="B38" s="15"/>
      <c r="C38" s="15"/>
      <c r="D38" s="15"/>
      <c r="E38" s="24">
        <f>DATE(1993,3,12)</f>
        <v>34040</v>
      </c>
      <c r="F38" s="19" t="s">
        <v>51</v>
      </c>
      <c r="G38" s="15">
        <v>7</v>
      </c>
      <c r="H38" s="15">
        <v>48</v>
      </c>
    </row>
    <row r="39" spans="1:8" x14ac:dyDescent="0.4">
      <c r="A39" s="15"/>
      <c r="B39" s="15"/>
      <c r="C39" s="15"/>
      <c r="D39" s="15"/>
      <c r="E39" s="24">
        <f>DATE(1993,3,13)</f>
        <v>34041</v>
      </c>
      <c r="F39" s="19" t="s">
        <v>51</v>
      </c>
      <c r="G39" s="15">
        <v>2</v>
      </c>
      <c r="H39" s="15">
        <v>48</v>
      </c>
    </row>
    <row r="40" spans="1:8" s="18" customFormat="1" x14ac:dyDescent="0.4">
      <c r="A40" s="16">
        <v>16</v>
      </c>
      <c r="B40" s="16" t="s">
        <v>112</v>
      </c>
      <c r="C40" s="16" t="s">
        <v>208</v>
      </c>
      <c r="D40" s="16"/>
      <c r="E40" s="31">
        <f>DATE(1993,7,10)</f>
        <v>34160</v>
      </c>
      <c r="F40" s="46" t="s">
        <v>51</v>
      </c>
      <c r="G40" s="16">
        <v>10</v>
      </c>
      <c r="H40" s="18">
        <v>48</v>
      </c>
    </row>
    <row r="41" spans="1:8" s="18" customFormat="1" x14ac:dyDescent="0.4">
      <c r="A41" s="16"/>
      <c r="B41" s="16"/>
      <c r="C41" s="16" t="s">
        <v>113</v>
      </c>
      <c r="D41" s="16"/>
      <c r="E41" s="31">
        <f>DATE(1993,7,11)</f>
        <v>34161</v>
      </c>
      <c r="F41" s="46" t="s">
        <v>51</v>
      </c>
      <c r="G41" s="16">
        <v>18</v>
      </c>
      <c r="H41" s="18">
        <v>48</v>
      </c>
    </row>
    <row r="42" spans="1:8" s="18" customFormat="1" x14ac:dyDescent="0.4">
      <c r="A42" s="16"/>
      <c r="B42" s="16"/>
      <c r="C42" s="16"/>
      <c r="D42" s="16"/>
      <c r="E42" s="31">
        <f>DATE(1993,7,12)</f>
        <v>34162</v>
      </c>
      <c r="F42" s="46" t="s">
        <v>51</v>
      </c>
      <c r="G42" s="16">
        <v>16</v>
      </c>
      <c r="H42" s="18">
        <v>48</v>
      </c>
    </row>
    <row r="43" spans="1:8" s="18" customFormat="1" x14ac:dyDescent="0.4">
      <c r="A43" s="16"/>
      <c r="B43" s="16"/>
      <c r="C43" s="16"/>
      <c r="D43" s="16"/>
      <c r="E43" s="31">
        <f>DATE(1993,7,13)</f>
        <v>34163</v>
      </c>
      <c r="F43" s="46" t="s">
        <v>51</v>
      </c>
      <c r="G43" s="16">
        <v>16</v>
      </c>
      <c r="H43" s="18">
        <v>48</v>
      </c>
    </row>
    <row r="44" spans="1:8" s="18" customFormat="1" x14ac:dyDescent="0.4">
      <c r="A44" s="16"/>
      <c r="B44" s="16"/>
      <c r="C44" s="16"/>
      <c r="D44" s="16"/>
      <c r="E44" s="31">
        <f>DATE(1993,7,14)</f>
        <v>34164</v>
      </c>
      <c r="F44" s="46" t="s">
        <v>51</v>
      </c>
      <c r="G44" s="16">
        <v>6</v>
      </c>
      <c r="H44" s="18">
        <v>48</v>
      </c>
    </row>
    <row r="45" spans="1:8" s="18" customFormat="1" x14ac:dyDescent="0.4">
      <c r="A45" s="16"/>
      <c r="B45" s="16"/>
      <c r="C45" s="16"/>
      <c r="D45" s="16"/>
      <c r="E45" s="31">
        <f>DATE(1993,7,15)</f>
        <v>34165</v>
      </c>
      <c r="F45" s="46" t="s">
        <v>51</v>
      </c>
      <c r="G45" s="16">
        <v>6</v>
      </c>
      <c r="H45" s="18">
        <v>48</v>
      </c>
    </row>
    <row r="46" spans="1:8" s="18" customFormat="1" x14ac:dyDescent="0.4">
      <c r="A46" s="16"/>
      <c r="B46" s="16"/>
      <c r="C46" s="16"/>
      <c r="D46" s="16"/>
      <c r="E46" s="31">
        <f>DATE(1993,7,16)</f>
        <v>34166</v>
      </c>
      <c r="F46" s="46" t="s">
        <v>51</v>
      </c>
      <c r="G46" s="16">
        <v>15</v>
      </c>
      <c r="H46" s="18">
        <v>48</v>
      </c>
    </row>
    <row r="47" spans="1:8" s="18" customFormat="1" x14ac:dyDescent="0.4">
      <c r="A47" s="16"/>
      <c r="B47" s="16"/>
      <c r="C47" s="16"/>
      <c r="D47" s="16"/>
      <c r="E47" s="31">
        <f>DATE(1993,7,17)</f>
        <v>34167</v>
      </c>
      <c r="F47" s="46" t="s">
        <v>51</v>
      </c>
      <c r="G47" s="16">
        <v>9</v>
      </c>
      <c r="H47" s="18">
        <v>48</v>
      </c>
    </row>
    <row r="48" spans="1:8" s="18" customFormat="1" x14ac:dyDescent="0.4">
      <c r="A48" s="16"/>
      <c r="B48" s="16"/>
      <c r="C48" s="16"/>
      <c r="D48" s="16"/>
      <c r="E48" s="31">
        <f>DATE(1993,7,30)</f>
        <v>34180</v>
      </c>
      <c r="F48" s="46" t="s">
        <v>51</v>
      </c>
      <c r="G48" s="16">
        <v>9</v>
      </c>
      <c r="H48" s="18">
        <v>48</v>
      </c>
    </row>
    <row r="49" spans="1:8" x14ac:dyDescent="0.4">
      <c r="A49" s="15">
        <v>17</v>
      </c>
      <c r="B49" s="15" t="s">
        <v>76</v>
      </c>
      <c r="C49" s="15" t="s">
        <v>77</v>
      </c>
      <c r="D49" s="15"/>
      <c r="E49" s="24" t="s">
        <v>246</v>
      </c>
      <c r="F49" s="19" t="s">
        <v>51</v>
      </c>
      <c r="G49" s="15">
        <v>1</v>
      </c>
      <c r="H49" s="15">
        <v>48</v>
      </c>
    </row>
    <row r="50" spans="1:8" x14ac:dyDescent="0.4">
      <c r="A50" s="15"/>
      <c r="B50" s="15" t="s">
        <v>80</v>
      </c>
      <c r="C50" s="15" t="s">
        <v>75</v>
      </c>
      <c r="D50" s="15"/>
      <c r="E50" s="24">
        <f>DATE(1993,7,31)</f>
        <v>34181</v>
      </c>
      <c r="F50" s="19" t="s">
        <v>51</v>
      </c>
      <c r="G50" s="15">
        <v>12</v>
      </c>
      <c r="H50" s="15">
        <v>48</v>
      </c>
    </row>
    <row r="51" spans="1:8" x14ac:dyDescent="0.4">
      <c r="A51" s="15"/>
      <c r="B51" s="15"/>
      <c r="C51" s="15"/>
      <c r="D51" s="15"/>
      <c r="E51" s="24">
        <f>DATE(1993,8,1)</f>
        <v>34182</v>
      </c>
      <c r="F51" s="19" t="s">
        <v>51</v>
      </c>
      <c r="G51" s="15">
        <v>11</v>
      </c>
      <c r="H51" s="15">
        <v>48</v>
      </c>
    </row>
    <row r="52" spans="1:8" x14ac:dyDescent="0.4">
      <c r="A52" s="15"/>
      <c r="B52" s="15"/>
      <c r="C52" s="15"/>
      <c r="D52" s="15"/>
      <c r="E52" s="24">
        <f>DATE(1993,8,2)</f>
        <v>34183</v>
      </c>
      <c r="F52" s="19" t="s">
        <v>51</v>
      </c>
      <c r="G52" s="15">
        <v>7</v>
      </c>
      <c r="H52" s="15">
        <v>48</v>
      </c>
    </row>
    <row r="53" spans="1:8" x14ac:dyDescent="0.4">
      <c r="A53" s="15"/>
      <c r="B53" s="15"/>
      <c r="C53" s="15"/>
      <c r="D53" s="15"/>
      <c r="E53" s="24">
        <f>DATE(1993,8,3)</f>
        <v>34184</v>
      </c>
      <c r="F53" s="19" t="s">
        <v>51</v>
      </c>
      <c r="G53" s="15">
        <v>1</v>
      </c>
      <c r="H53" s="15">
        <v>48</v>
      </c>
    </row>
    <row r="54" spans="1:8" s="18" customFormat="1" x14ac:dyDescent="0.4">
      <c r="A54" s="16">
        <v>18</v>
      </c>
      <c r="B54" s="16" t="s">
        <v>115</v>
      </c>
      <c r="C54" s="16" t="s">
        <v>113</v>
      </c>
      <c r="D54" s="16"/>
      <c r="E54" s="31">
        <f>DATE(1993,9,28)</f>
        <v>34240</v>
      </c>
      <c r="F54" s="46" t="s">
        <v>51</v>
      </c>
      <c r="G54" s="16">
        <v>8</v>
      </c>
      <c r="H54" s="18">
        <v>48</v>
      </c>
    </row>
    <row r="55" spans="1:8" x14ac:dyDescent="0.4">
      <c r="A55" s="15">
        <v>19</v>
      </c>
      <c r="B55" s="15" t="s">
        <v>115</v>
      </c>
      <c r="C55" s="15" t="s">
        <v>113</v>
      </c>
      <c r="D55" s="15"/>
      <c r="E55" s="24">
        <f>DATE(1994,4,6)</f>
        <v>34430</v>
      </c>
      <c r="F55" s="19" t="s">
        <v>51</v>
      </c>
      <c r="G55" s="15">
        <v>11</v>
      </c>
      <c r="H55" s="15">
        <v>48</v>
      </c>
    </row>
    <row r="56" spans="1:8" x14ac:dyDescent="0.4">
      <c r="A56" s="15"/>
      <c r="B56" s="15"/>
      <c r="C56" s="15"/>
      <c r="D56" s="15"/>
      <c r="E56" s="24">
        <f>DATE(1994,4,7)</f>
        <v>34431</v>
      </c>
      <c r="F56" s="19" t="s">
        <v>51</v>
      </c>
      <c r="G56" s="15">
        <v>1</v>
      </c>
      <c r="H56" s="15">
        <v>48</v>
      </c>
    </row>
    <row r="57" spans="1:8" s="18" customFormat="1" x14ac:dyDescent="0.4">
      <c r="A57" s="16">
        <v>20</v>
      </c>
      <c r="B57" s="16" t="s">
        <v>115</v>
      </c>
      <c r="C57" s="16" t="s">
        <v>113</v>
      </c>
      <c r="D57" s="16"/>
      <c r="E57" s="31">
        <f>DATE(1994,11,7)</f>
        <v>34645</v>
      </c>
      <c r="F57" s="46" t="s">
        <v>51</v>
      </c>
      <c r="G57" s="16">
        <v>9</v>
      </c>
      <c r="H57" s="18">
        <v>48</v>
      </c>
    </row>
    <row r="58" spans="1:8" s="18" customFormat="1" x14ac:dyDescent="0.4">
      <c r="A58" s="16"/>
      <c r="B58" s="16"/>
      <c r="C58" s="16"/>
      <c r="D58" s="16"/>
      <c r="E58" s="31">
        <f>DATE(1994,11,8)</f>
        <v>34646</v>
      </c>
      <c r="F58" s="46" t="s">
        <v>51</v>
      </c>
      <c r="G58" s="16">
        <v>9</v>
      </c>
      <c r="H58" s="18">
        <v>48</v>
      </c>
    </row>
    <row r="59" spans="1:8" s="18" customFormat="1" x14ac:dyDescent="0.4">
      <c r="A59" s="16"/>
      <c r="B59" s="16"/>
      <c r="C59" s="16"/>
      <c r="D59" s="16"/>
      <c r="E59" s="31">
        <f>DATE(1994,11,10)</f>
        <v>34648</v>
      </c>
      <c r="F59" s="46" t="s">
        <v>51</v>
      </c>
      <c r="G59" s="16">
        <v>11</v>
      </c>
      <c r="H59" s="18">
        <v>48</v>
      </c>
    </row>
    <row r="60" spans="1:8" s="18" customFormat="1" x14ac:dyDescent="0.4">
      <c r="A60" s="16"/>
      <c r="B60" s="16"/>
      <c r="C60" s="16"/>
      <c r="D60" s="16"/>
      <c r="E60" s="31">
        <f>DATE(1994,11,11)</f>
        <v>34649</v>
      </c>
      <c r="F60" s="46" t="s">
        <v>51</v>
      </c>
      <c r="G60" s="16">
        <v>12</v>
      </c>
      <c r="H60" s="18">
        <v>48</v>
      </c>
    </row>
    <row r="61" spans="1:8" s="18" customFormat="1" x14ac:dyDescent="0.4">
      <c r="A61" s="16"/>
      <c r="B61" s="16"/>
      <c r="C61" s="16"/>
      <c r="D61" s="16"/>
      <c r="E61" s="31">
        <f>DATE(1994,11,12)</f>
        <v>34650</v>
      </c>
      <c r="F61" s="46" t="s">
        <v>51</v>
      </c>
      <c r="G61" s="16">
        <v>5</v>
      </c>
      <c r="H61" s="18">
        <v>48</v>
      </c>
    </row>
    <row r="62" spans="1:8" x14ac:dyDescent="0.4">
      <c r="A62" s="13">
        <v>21</v>
      </c>
      <c r="B62" s="13" t="s">
        <v>247</v>
      </c>
      <c r="E62" s="14" t="s">
        <v>50</v>
      </c>
      <c r="F62" s="19" t="s">
        <v>248</v>
      </c>
      <c r="G62" s="13">
        <v>4</v>
      </c>
      <c r="H62" s="15">
        <v>48</v>
      </c>
    </row>
    <row r="63" spans="1:8" x14ac:dyDescent="0.4">
      <c r="E63" s="14"/>
      <c r="G63" s="13">
        <f>SUM(G3:G62)</f>
        <v>575</v>
      </c>
    </row>
    <row r="64" spans="1:8" x14ac:dyDescent="0.4">
      <c r="E64" s="26"/>
      <c r="F64" s="76" t="s">
        <v>118</v>
      </c>
      <c r="G64" s="10"/>
    </row>
    <row r="65" spans="1:8" x14ac:dyDescent="0.4">
      <c r="A65" s="13">
        <v>22</v>
      </c>
      <c r="B65" s="13" t="s">
        <v>249</v>
      </c>
      <c r="E65" s="30" t="s">
        <v>120</v>
      </c>
      <c r="F65" s="19">
        <v>2</v>
      </c>
      <c r="G65" s="13" t="s">
        <v>121</v>
      </c>
      <c r="H65" s="15">
        <v>48</v>
      </c>
    </row>
    <row r="66" spans="1:8" x14ac:dyDescent="0.4">
      <c r="E66" s="30" t="s">
        <v>122</v>
      </c>
      <c r="F66" s="19">
        <v>2</v>
      </c>
      <c r="G66" s="13" t="s">
        <v>121</v>
      </c>
      <c r="H66" s="15">
        <v>48</v>
      </c>
    </row>
    <row r="67" spans="1:8" x14ac:dyDescent="0.4">
      <c r="E67" s="30" t="s">
        <v>123</v>
      </c>
      <c r="F67" s="19">
        <v>1</v>
      </c>
      <c r="G67" s="13" t="s">
        <v>121</v>
      </c>
      <c r="H67" s="15">
        <v>48</v>
      </c>
    </row>
    <row r="68" spans="1:8" x14ac:dyDescent="0.4">
      <c r="E68" s="30" t="s">
        <v>124</v>
      </c>
      <c r="F68" s="19">
        <v>2</v>
      </c>
      <c r="G68" s="13" t="s">
        <v>121</v>
      </c>
      <c r="H68" s="15">
        <v>48</v>
      </c>
    </row>
    <row r="69" spans="1:8" x14ac:dyDescent="0.4">
      <c r="E69" s="30" t="s">
        <v>125</v>
      </c>
      <c r="F69" s="19">
        <v>4</v>
      </c>
      <c r="G69" s="13" t="s">
        <v>121</v>
      </c>
      <c r="H69" s="15">
        <v>48</v>
      </c>
    </row>
    <row r="70" spans="1:8" x14ac:dyDescent="0.4">
      <c r="E70" s="30" t="s">
        <v>127</v>
      </c>
      <c r="F70" s="19">
        <v>4</v>
      </c>
      <c r="G70" s="13" t="s">
        <v>121</v>
      </c>
      <c r="H70" s="15">
        <v>48</v>
      </c>
    </row>
    <row r="71" spans="1:8" x14ac:dyDescent="0.4">
      <c r="E71" s="30" t="s">
        <v>128</v>
      </c>
      <c r="F71" s="19">
        <v>4</v>
      </c>
      <c r="G71" s="13" t="s">
        <v>121</v>
      </c>
      <c r="H71" s="15">
        <v>48</v>
      </c>
    </row>
    <row r="72" spans="1:8" x14ac:dyDescent="0.4">
      <c r="E72" s="30" t="s">
        <v>129</v>
      </c>
      <c r="F72" s="19">
        <v>5</v>
      </c>
      <c r="G72" s="13" t="s">
        <v>121</v>
      </c>
      <c r="H72" s="15">
        <v>48</v>
      </c>
    </row>
    <row r="73" spans="1:8" x14ac:dyDescent="0.4">
      <c r="E73" s="30" t="s">
        <v>130</v>
      </c>
      <c r="F73" s="19">
        <v>3</v>
      </c>
      <c r="G73" s="13" t="s">
        <v>121</v>
      </c>
      <c r="H73" s="15">
        <v>48</v>
      </c>
    </row>
    <row r="74" spans="1:8" x14ac:dyDescent="0.4">
      <c r="F74" s="19">
        <f>SUM(F65:F73)</f>
        <v>27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B783-8E37-4727-B48B-06B8A636360B}">
  <dimension ref="A1:H93"/>
  <sheetViews>
    <sheetView topLeftCell="B1" workbookViewId="0">
      <selection activeCell="G93" sqref="G93"/>
    </sheetView>
  </sheetViews>
  <sheetFormatPr defaultColWidth="11.5546875" defaultRowHeight="12" x14ac:dyDescent="0.4"/>
  <cols>
    <col min="1" max="1" width="3.21875" style="13" customWidth="1"/>
    <col min="2" max="2" width="46.109375" style="13" customWidth="1"/>
    <col min="3" max="3" width="16.5546875" style="13" customWidth="1"/>
    <col min="4" max="4" width="19.88671875" style="13" customWidth="1"/>
    <col min="5" max="5" width="14" style="14" customWidth="1"/>
    <col min="6" max="6" width="8.44140625" style="19" customWidth="1"/>
    <col min="7" max="7" width="3.777343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250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137</v>
      </c>
      <c r="C3" s="13" t="s">
        <v>170</v>
      </c>
      <c r="D3" s="13" t="s">
        <v>251</v>
      </c>
      <c r="E3" s="14">
        <f>DATE(2003,1,20)</f>
        <v>37641</v>
      </c>
      <c r="F3" s="19" t="s">
        <v>51</v>
      </c>
      <c r="G3" s="13">
        <v>4</v>
      </c>
      <c r="H3" s="15">
        <v>50</v>
      </c>
    </row>
    <row r="4" spans="1:8" s="18" customFormat="1" x14ac:dyDescent="0.4">
      <c r="A4" s="16">
        <v>2</v>
      </c>
      <c r="B4" s="16" t="s">
        <v>172</v>
      </c>
      <c r="C4" s="16" t="s">
        <v>252</v>
      </c>
      <c r="D4" s="16" t="s">
        <v>253</v>
      </c>
      <c r="E4" s="17">
        <f>DATE(2005,4,21)</f>
        <v>38463</v>
      </c>
      <c r="F4" s="46" t="s">
        <v>51</v>
      </c>
      <c r="G4" s="16">
        <v>6</v>
      </c>
      <c r="H4" s="18">
        <v>50</v>
      </c>
    </row>
    <row r="5" spans="1:8" x14ac:dyDescent="0.4">
      <c r="A5" s="15">
        <v>3</v>
      </c>
      <c r="B5" s="15" t="s">
        <v>254</v>
      </c>
      <c r="C5" s="15"/>
      <c r="D5" s="15"/>
      <c r="E5" s="26" t="s">
        <v>176</v>
      </c>
      <c r="F5" s="29" t="s">
        <v>51</v>
      </c>
      <c r="G5" s="15">
        <v>1</v>
      </c>
      <c r="H5" s="15">
        <v>50</v>
      </c>
    </row>
    <row r="6" spans="1:8" s="18" customFormat="1" x14ac:dyDescent="0.4">
      <c r="A6" s="18">
        <v>4</v>
      </c>
      <c r="B6" s="18" t="s">
        <v>112</v>
      </c>
      <c r="C6" s="18" t="s">
        <v>113</v>
      </c>
      <c r="E6" s="25">
        <f>DATE(2004,11,22)</f>
        <v>38313</v>
      </c>
      <c r="F6" s="33" t="s">
        <v>51</v>
      </c>
      <c r="G6" s="18">
        <v>1</v>
      </c>
      <c r="H6" s="18">
        <v>50</v>
      </c>
    </row>
    <row r="7" spans="1:8" s="18" customFormat="1" x14ac:dyDescent="0.4">
      <c r="E7" s="25">
        <f>DATE(2004,11,29)</f>
        <v>38320</v>
      </c>
      <c r="F7" s="33" t="s">
        <v>51</v>
      </c>
      <c r="G7" s="18">
        <v>4</v>
      </c>
      <c r="H7" s="18">
        <v>50</v>
      </c>
    </row>
    <row r="8" spans="1:8" x14ac:dyDescent="0.4">
      <c r="A8" s="15">
        <v>5</v>
      </c>
      <c r="B8" s="15" t="s">
        <v>112</v>
      </c>
      <c r="C8" s="15" t="s">
        <v>113</v>
      </c>
      <c r="D8" s="15"/>
      <c r="E8" s="24">
        <f>DATE(2004,12,1)</f>
        <v>38322</v>
      </c>
      <c r="F8" s="29" t="s">
        <v>51</v>
      </c>
      <c r="G8" s="15">
        <v>2</v>
      </c>
      <c r="H8" s="15">
        <v>50</v>
      </c>
    </row>
    <row r="9" spans="1:8" x14ac:dyDescent="0.4">
      <c r="A9" s="15"/>
      <c r="B9" s="15"/>
      <c r="C9" s="15"/>
      <c r="D9" s="15"/>
      <c r="E9" s="24">
        <f>DATE(2004,12,2)</f>
        <v>38323</v>
      </c>
      <c r="F9" s="29" t="s">
        <v>51</v>
      </c>
      <c r="G9" s="15">
        <v>1</v>
      </c>
      <c r="H9" s="15">
        <v>50</v>
      </c>
    </row>
    <row r="10" spans="1:8" x14ac:dyDescent="0.4">
      <c r="A10" s="15"/>
      <c r="B10" s="15"/>
      <c r="C10" s="15"/>
      <c r="D10" s="15"/>
      <c r="E10" s="24">
        <f>DATE(2004,12,4)</f>
        <v>38325</v>
      </c>
      <c r="F10" s="29" t="s">
        <v>51</v>
      </c>
      <c r="G10" s="15">
        <v>4</v>
      </c>
      <c r="H10" s="15">
        <v>50</v>
      </c>
    </row>
    <row r="11" spans="1:8" x14ac:dyDescent="0.4">
      <c r="A11" s="15"/>
      <c r="B11" s="15"/>
      <c r="C11" s="15"/>
      <c r="D11" s="15"/>
      <c r="E11" s="24">
        <f>DATE(2004,12,5)</f>
        <v>38326</v>
      </c>
      <c r="F11" s="29" t="s">
        <v>51</v>
      </c>
      <c r="G11" s="15">
        <v>1</v>
      </c>
      <c r="H11" s="15">
        <v>50</v>
      </c>
    </row>
    <row r="12" spans="1:8" x14ac:dyDescent="0.4">
      <c r="A12" s="15"/>
      <c r="B12" s="15"/>
      <c r="C12" s="15"/>
      <c r="D12" s="15"/>
      <c r="E12" s="24">
        <f>DATE(2004,12,6)</f>
        <v>38327</v>
      </c>
      <c r="F12" s="29" t="s">
        <v>51</v>
      </c>
      <c r="G12" s="15">
        <v>1</v>
      </c>
      <c r="H12" s="15">
        <v>50</v>
      </c>
    </row>
    <row r="13" spans="1:8" x14ac:dyDescent="0.4">
      <c r="A13" s="15"/>
      <c r="B13" s="15"/>
      <c r="C13" s="15"/>
      <c r="D13" s="15"/>
      <c r="E13" s="24">
        <f>DATE(2004,12,7)</f>
        <v>38328</v>
      </c>
      <c r="F13" s="29" t="s">
        <v>51</v>
      </c>
      <c r="G13" s="15">
        <v>1</v>
      </c>
      <c r="H13" s="15">
        <v>50</v>
      </c>
    </row>
    <row r="14" spans="1:8" x14ac:dyDescent="0.4">
      <c r="A14" s="15"/>
      <c r="B14" s="15"/>
      <c r="C14" s="15"/>
      <c r="D14" s="15"/>
      <c r="E14" s="24">
        <f>DATE(2004,12,8)</f>
        <v>38329</v>
      </c>
      <c r="F14" s="29" t="s">
        <v>51</v>
      </c>
      <c r="G14" s="15">
        <v>1</v>
      </c>
      <c r="H14" s="15">
        <v>50</v>
      </c>
    </row>
    <row r="15" spans="1:8" x14ac:dyDescent="0.4">
      <c r="A15" s="15"/>
      <c r="B15" s="15"/>
      <c r="C15" s="15"/>
      <c r="D15" s="15"/>
      <c r="E15" s="24">
        <f>DATE(2004,12,9)</f>
        <v>38330</v>
      </c>
      <c r="F15" s="29" t="s">
        <v>51</v>
      </c>
      <c r="G15" s="15">
        <v>6</v>
      </c>
      <c r="H15" s="15">
        <v>50</v>
      </c>
    </row>
    <row r="16" spans="1:8" x14ac:dyDescent="0.4">
      <c r="A16" s="15"/>
      <c r="B16" s="15"/>
      <c r="C16" s="15"/>
      <c r="D16" s="15"/>
      <c r="E16" s="24">
        <f>DATE(2004,12,15)</f>
        <v>38336</v>
      </c>
      <c r="F16" s="29" t="s">
        <v>51</v>
      </c>
      <c r="G16" s="15">
        <v>1</v>
      </c>
      <c r="H16" s="15">
        <v>50</v>
      </c>
    </row>
    <row r="17" spans="1:8" x14ac:dyDescent="0.4">
      <c r="A17" s="15"/>
      <c r="B17" s="15"/>
      <c r="C17" s="15"/>
      <c r="D17" s="15"/>
      <c r="E17" s="24">
        <f>DATE(2004,12,17)</f>
        <v>38338</v>
      </c>
      <c r="F17" s="29" t="s">
        <v>51</v>
      </c>
      <c r="G17" s="15">
        <v>1</v>
      </c>
      <c r="H17" s="15">
        <v>50</v>
      </c>
    </row>
    <row r="18" spans="1:8" x14ac:dyDescent="0.4">
      <c r="A18" s="15"/>
      <c r="B18" s="15"/>
      <c r="C18" s="15"/>
      <c r="D18" s="15"/>
      <c r="E18" s="24">
        <f>DATE(2004,12,18)</f>
        <v>38339</v>
      </c>
      <c r="F18" s="29" t="s">
        <v>51</v>
      </c>
      <c r="G18" s="15">
        <v>1</v>
      </c>
      <c r="H18" s="15">
        <v>50</v>
      </c>
    </row>
    <row r="19" spans="1:8" s="18" customFormat="1" x14ac:dyDescent="0.4">
      <c r="A19" s="16">
        <v>6</v>
      </c>
      <c r="B19" s="16" t="s">
        <v>112</v>
      </c>
      <c r="C19" s="16" t="s">
        <v>113</v>
      </c>
      <c r="D19" s="16"/>
      <c r="E19" s="17">
        <f>DATE(2005,2,8)</f>
        <v>38391</v>
      </c>
      <c r="F19" s="46" t="s">
        <v>51</v>
      </c>
      <c r="G19" s="16">
        <v>1</v>
      </c>
      <c r="H19" s="18">
        <v>50</v>
      </c>
    </row>
    <row r="20" spans="1:8" s="18" customFormat="1" x14ac:dyDescent="0.4">
      <c r="A20" s="16"/>
      <c r="B20" s="16"/>
      <c r="C20" s="16"/>
      <c r="D20" s="16"/>
      <c r="E20" s="17">
        <f>DATE(2005,2,15)</f>
        <v>38398</v>
      </c>
      <c r="F20" s="46" t="s">
        <v>51</v>
      </c>
      <c r="G20" s="16">
        <v>1</v>
      </c>
      <c r="H20" s="18">
        <v>50</v>
      </c>
    </row>
    <row r="21" spans="1:8" s="18" customFormat="1" x14ac:dyDescent="0.4">
      <c r="A21" s="16"/>
      <c r="B21" s="16"/>
      <c r="C21" s="16"/>
      <c r="D21" s="16"/>
      <c r="E21" s="17">
        <f>DATE(2005,2,16)</f>
        <v>38399</v>
      </c>
      <c r="F21" s="46" t="s">
        <v>51</v>
      </c>
      <c r="G21" s="16">
        <v>1</v>
      </c>
      <c r="H21" s="18">
        <v>50</v>
      </c>
    </row>
    <row r="22" spans="1:8" s="18" customFormat="1" x14ac:dyDescent="0.4">
      <c r="A22" s="16"/>
      <c r="B22" s="16"/>
      <c r="C22" s="16"/>
      <c r="D22" s="16"/>
      <c r="E22" s="17">
        <f>DATE(2005,2,18)</f>
        <v>38401</v>
      </c>
      <c r="F22" s="46" t="s">
        <v>51</v>
      </c>
      <c r="G22" s="16">
        <v>1</v>
      </c>
      <c r="H22" s="18">
        <v>50</v>
      </c>
    </row>
    <row r="23" spans="1:8" s="18" customFormat="1" x14ac:dyDescent="0.4">
      <c r="A23" s="16"/>
      <c r="B23" s="16"/>
      <c r="C23" s="16"/>
      <c r="D23" s="16"/>
      <c r="E23" s="17">
        <f>DATE(2005,2,19)</f>
        <v>38402</v>
      </c>
      <c r="F23" s="46" t="s">
        <v>51</v>
      </c>
      <c r="G23" s="16">
        <v>1</v>
      </c>
      <c r="H23" s="18">
        <v>50</v>
      </c>
    </row>
    <row r="24" spans="1:8" s="18" customFormat="1" x14ac:dyDescent="0.4">
      <c r="A24" s="16"/>
      <c r="B24" s="16"/>
      <c r="C24" s="16"/>
      <c r="D24" s="16"/>
      <c r="E24" s="17">
        <f>DATE(2005,2,20)</f>
        <v>38403</v>
      </c>
      <c r="F24" s="46" t="s">
        <v>51</v>
      </c>
      <c r="G24" s="16">
        <v>1</v>
      </c>
      <c r="H24" s="18">
        <v>50</v>
      </c>
    </row>
    <row r="25" spans="1:8" x14ac:dyDescent="0.4">
      <c r="A25" s="15">
        <v>7</v>
      </c>
      <c r="B25" s="15" t="s">
        <v>112</v>
      </c>
      <c r="C25" s="15" t="s">
        <v>113</v>
      </c>
      <c r="D25" s="15"/>
      <c r="E25" s="24">
        <f>DATE(2005,3,1)</f>
        <v>38412</v>
      </c>
      <c r="F25" s="29" t="s">
        <v>51</v>
      </c>
      <c r="G25" s="15">
        <v>1</v>
      </c>
      <c r="H25" s="15">
        <v>50</v>
      </c>
    </row>
    <row r="26" spans="1:8" x14ac:dyDescent="0.4">
      <c r="A26" s="15"/>
      <c r="B26" s="15"/>
      <c r="C26" s="15"/>
      <c r="D26" s="15"/>
      <c r="E26" s="24">
        <f>DATE(2005,3,3)</f>
        <v>38414</v>
      </c>
      <c r="F26" s="29" t="s">
        <v>51</v>
      </c>
      <c r="G26" s="15">
        <v>3</v>
      </c>
      <c r="H26" s="15">
        <v>50</v>
      </c>
    </row>
    <row r="27" spans="1:8" x14ac:dyDescent="0.4">
      <c r="A27" s="15"/>
      <c r="B27" s="15"/>
      <c r="C27" s="15"/>
      <c r="D27" s="15"/>
      <c r="E27" s="24">
        <f>DATE(2005,3,10)</f>
        <v>38421</v>
      </c>
      <c r="F27" s="29" t="s">
        <v>51</v>
      </c>
      <c r="G27" s="15">
        <v>1</v>
      </c>
      <c r="H27" s="15">
        <v>50</v>
      </c>
    </row>
    <row r="28" spans="1:8" x14ac:dyDescent="0.4">
      <c r="A28" s="15"/>
      <c r="B28" s="15"/>
      <c r="C28" s="15"/>
      <c r="D28" s="15"/>
      <c r="E28" s="24">
        <f>DATE(2005,3,11)</f>
        <v>38422</v>
      </c>
      <c r="F28" s="29" t="s">
        <v>51</v>
      </c>
      <c r="G28" s="15">
        <v>1</v>
      </c>
      <c r="H28" s="15">
        <v>50</v>
      </c>
    </row>
    <row r="29" spans="1:8" x14ac:dyDescent="0.4">
      <c r="A29" s="15"/>
      <c r="B29" s="15"/>
      <c r="C29" s="15"/>
      <c r="D29" s="15"/>
      <c r="E29" s="24">
        <f>DATE(2005,3,12)</f>
        <v>38423</v>
      </c>
      <c r="F29" s="29" t="s">
        <v>51</v>
      </c>
      <c r="G29" s="15">
        <v>3</v>
      </c>
      <c r="H29" s="15">
        <v>50</v>
      </c>
    </row>
    <row r="30" spans="1:8" x14ac:dyDescent="0.4">
      <c r="A30" s="15"/>
      <c r="B30" s="15"/>
      <c r="C30" s="15"/>
      <c r="D30" s="15"/>
      <c r="E30" s="24">
        <f>DATE(2005,3,13)</f>
        <v>38424</v>
      </c>
      <c r="F30" s="29" t="s">
        <v>51</v>
      </c>
      <c r="G30" s="15">
        <v>1</v>
      </c>
      <c r="H30" s="15">
        <v>50</v>
      </c>
    </row>
    <row r="31" spans="1:8" x14ac:dyDescent="0.4">
      <c r="A31" s="15"/>
      <c r="B31" s="15"/>
      <c r="C31" s="15"/>
      <c r="D31" s="15"/>
      <c r="E31" s="24">
        <f>DATE(2005,3,15)</f>
        <v>38426</v>
      </c>
      <c r="F31" s="29" t="s">
        <v>51</v>
      </c>
      <c r="G31" s="15">
        <v>1</v>
      </c>
      <c r="H31" s="15">
        <v>50</v>
      </c>
    </row>
    <row r="32" spans="1:8" x14ac:dyDescent="0.4">
      <c r="A32" s="15"/>
      <c r="B32" s="15"/>
      <c r="C32" s="15"/>
      <c r="D32" s="15"/>
      <c r="E32" s="24">
        <f>DATE(2005,3,19)</f>
        <v>38430</v>
      </c>
      <c r="F32" s="29" t="s">
        <v>51</v>
      </c>
      <c r="G32" s="15">
        <v>1</v>
      </c>
      <c r="H32" s="15">
        <v>50</v>
      </c>
    </row>
    <row r="33" spans="1:8" x14ac:dyDescent="0.4">
      <c r="A33" s="15"/>
      <c r="B33" s="15"/>
      <c r="C33" s="15"/>
      <c r="D33" s="15"/>
      <c r="E33" s="24">
        <f>DATE(2005,3,21)</f>
        <v>38432</v>
      </c>
      <c r="F33" s="29" t="s">
        <v>51</v>
      </c>
      <c r="G33" s="15">
        <v>1</v>
      </c>
      <c r="H33" s="15">
        <v>50</v>
      </c>
    </row>
    <row r="34" spans="1:8" x14ac:dyDescent="0.4">
      <c r="A34" s="15"/>
      <c r="B34" s="15"/>
      <c r="C34" s="15"/>
      <c r="D34" s="15"/>
      <c r="E34" s="24">
        <f>DATE(2005,3,22)</f>
        <v>38433</v>
      </c>
      <c r="F34" s="29" t="s">
        <v>51</v>
      </c>
      <c r="G34" s="15">
        <v>1</v>
      </c>
      <c r="H34" s="15">
        <v>50</v>
      </c>
    </row>
    <row r="35" spans="1:8" x14ac:dyDescent="0.4">
      <c r="A35" s="15"/>
      <c r="B35" s="15"/>
      <c r="C35" s="15"/>
      <c r="D35" s="15"/>
      <c r="E35" s="24">
        <f>DATE(2005,3,25)</f>
        <v>38436</v>
      </c>
      <c r="F35" s="29" t="s">
        <v>51</v>
      </c>
      <c r="G35" s="15">
        <v>1</v>
      </c>
      <c r="H35" s="15">
        <v>50</v>
      </c>
    </row>
    <row r="36" spans="1:8" x14ac:dyDescent="0.4">
      <c r="A36" s="15"/>
      <c r="B36" s="15"/>
      <c r="C36" s="15"/>
      <c r="D36" s="15"/>
      <c r="E36" s="24">
        <f>DATE(2005,3,27)</f>
        <v>38438</v>
      </c>
      <c r="F36" s="29" t="s">
        <v>51</v>
      </c>
      <c r="G36" s="15">
        <v>1</v>
      </c>
      <c r="H36" s="15">
        <v>50</v>
      </c>
    </row>
    <row r="37" spans="1:8" x14ac:dyDescent="0.4">
      <c r="A37" s="15"/>
      <c r="B37" s="15"/>
      <c r="C37" s="15"/>
      <c r="D37" s="15"/>
      <c r="E37" s="24">
        <f>DATE(2005,3,30)</f>
        <v>38441</v>
      </c>
      <c r="F37" s="29" t="s">
        <v>51</v>
      </c>
      <c r="G37" s="15">
        <v>1</v>
      </c>
      <c r="H37" s="15">
        <v>50</v>
      </c>
    </row>
    <row r="38" spans="1:8" s="18" customFormat="1" x14ac:dyDescent="0.4">
      <c r="A38" s="16">
        <v>8</v>
      </c>
      <c r="B38" s="16" t="s">
        <v>112</v>
      </c>
      <c r="C38" s="16" t="s">
        <v>113</v>
      </c>
      <c r="D38" s="16"/>
      <c r="E38" s="17">
        <f>DATE(2005,5,4)</f>
        <v>38476</v>
      </c>
      <c r="F38" s="46" t="s">
        <v>51</v>
      </c>
      <c r="G38" s="16">
        <v>4</v>
      </c>
      <c r="H38" s="18">
        <v>50</v>
      </c>
    </row>
    <row r="39" spans="1:8" s="18" customFormat="1" x14ac:dyDescent="0.4">
      <c r="A39" s="16"/>
      <c r="B39" s="16"/>
      <c r="C39" s="16"/>
      <c r="D39" s="16"/>
      <c r="E39" s="17">
        <f>DATE(2005,5,11)</f>
        <v>38483</v>
      </c>
      <c r="F39" s="46" t="s">
        <v>51</v>
      </c>
      <c r="G39" s="16">
        <v>1</v>
      </c>
      <c r="H39" s="18">
        <v>50</v>
      </c>
    </row>
    <row r="40" spans="1:8" s="18" customFormat="1" x14ac:dyDescent="0.4">
      <c r="A40" s="16"/>
      <c r="B40" s="16"/>
      <c r="C40" s="16"/>
      <c r="D40" s="16"/>
      <c r="E40" s="17">
        <f>DATE(2005,5,12)</f>
        <v>38484</v>
      </c>
      <c r="F40" s="46" t="s">
        <v>51</v>
      </c>
      <c r="G40" s="16">
        <v>1</v>
      </c>
      <c r="H40" s="18">
        <v>50</v>
      </c>
    </row>
    <row r="41" spans="1:8" s="18" customFormat="1" x14ac:dyDescent="0.4">
      <c r="A41" s="16"/>
      <c r="B41" s="16"/>
      <c r="C41" s="16"/>
      <c r="D41" s="16"/>
      <c r="E41" s="17">
        <f>DATE(2005,5,24)</f>
        <v>38496</v>
      </c>
      <c r="F41" s="46" t="s">
        <v>51</v>
      </c>
      <c r="G41" s="16">
        <v>1</v>
      </c>
      <c r="H41" s="18">
        <v>50</v>
      </c>
    </row>
    <row r="42" spans="1:8" s="18" customFormat="1" x14ac:dyDescent="0.4">
      <c r="A42" s="16"/>
      <c r="B42" s="16"/>
      <c r="C42" s="16"/>
      <c r="D42" s="16"/>
      <c r="E42" s="17">
        <f>DATE(2005,5,26)</f>
        <v>38498</v>
      </c>
      <c r="F42" s="46" t="s">
        <v>51</v>
      </c>
      <c r="G42" s="16">
        <v>1</v>
      </c>
      <c r="H42" s="18">
        <v>50</v>
      </c>
    </row>
    <row r="43" spans="1:8" s="18" customFormat="1" x14ac:dyDescent="0.4">
      <c r="A43" s="16"/>
      <c r="B43" s="16"/>
      <c r="C43" s="16"/>
      <c r="D43" s="16"/>
      <c r="E43" s="17">
        <f>DATE(2005,5,28)</f>
        <v>38500</v>
      </c>
      <c r="F43" s="46" t="s">
        <v>51</v>
      </c>
      <c r="G43" s="16">
        <v>1</v>
      </c>
      <c r="H43" s="18">
        <v>50</v>
      </c>
    </row>
    <row r="44" spans="1:8" s="18" customFormat="1" x14ac:dyDescent="0.4">
      <c r="A44" s="16"/>
      <c r="B44" s="16"/>
      <c r="C44" s="16"/>
      <c r="D44" s="16"/>
      <c r="E44" s="17">
        <f>DATE(2005,5,30)</f>
        <v>38502</v>
      </c>
      <c r="F44" s="46" t="s">
        <v>51</v>
      </c>
      <c r="G44" s="16">
        <v>3</v>
      </c>
      <c r="H44" s="18">
        <v>50</v>
      </c>
    </row>
    <row r="45" spans="1:8" s="18" customFormat="1" x14ac:dyDescent="0.4">
      <c r="A45" s="16"/>
      <c r="B45" s="16"/>
      <c r="C45" s="16"/>
      <c r="D45" s="16"/>
      <c r="E45" s="17">
        <f>DATE(2005,5,31)</f>
        <v>38503</v>
      </c>
      <c r="F45" s="46" t="s">
        <v>51</v>
      </c>
      <c r="G45" s="16">
        <v>1</v>
      </c>
      <c r="H45" s="18">
        <v>50</v>
      </c>
    </row>
    <row r="46" spans="1:8" x14ac:dyDescent="0.4">
      <c r="A46" s="15">
        <v>9</v>
      </c>
      <c r="B46" s="15" t="s">
        <v>76</v>
      </c>
      <c r="C46" s="15" t="s">
        <v>208</v>
      </c>
      <c r="D46" s="15"/>
      <c r="E46" s="26" t="s">
        <v>255</v>
      </c>
      <c r="F46" s="29" t="s">
        <v>51</v>
      </c>
      <c r="G46" s="15">
        <v>1</v>
      </c>
      <c r="H46" s="15">
        <v>50</v>
      </c>
    </row>
    <row r="47" spans="1:8" x14ac:dyDescent="0.4">
      <c r="A47" s="15"/>
      <c r="B47" s="15" t="s">
        <v>80</v>
      </c>
      <c r="C47" s="15" t="s">
        <v>113</v>
      </c>
      <c r="D47" s="15"/>
      <c r="E47" s="24">
        <f>DATE(2005,6,1)</f>
        <v>38504</v>
      </c>
      <c r="F47" s="29" t="s">
        <v>51</v>
      </c>
      <c r="G47" s="15">
        <v>1</v>
      </c>
      <c r="H47" s="15">
        <v>50</v>
      </c>
    </row>
    <row r="48" spans="1:8" x14ac:dyDescent="0.4">
      <c r="A48" s="15"/>
      <c r="B48" s="15"/>
      <c r="C48" s="15"/>
      <c r="D48" s="15"/>
      <c r="E48" s="24">
        <f>DATE(2005,6,4)</f>
        <v>38507</v>
      </c>
      <c r="F48" s="29" t="s">
        <v>51</v>
      </c>
      <c r="G48" s="15">
        <v>1</v>
      </c>
      <c r="H48" s="15">
        <v>50</v>
      </c>
    </row>
    <row r="49" spans="1:8" x14ac:dyDescent="0.4">
      <c r="A49" s="15"/>
      <c r="B49" s="15"/>
      <c r="C49" s="15"/>
      <c r="D49" s="15"/>
      <c r="E49" s="24">
        <f>DATE(2005,6,6)</f>
        <v>38509</v>
      </c>
      <c r="F49" s="29" t="s">
        <v>51</v>
      </c>
      <c r="G49" s="15">
        <v>1</v>
      </c>
      <c r="H49" s="15">
        <v>50</v>
      </c>
    </row>
    <row r="50" spans="1:8" x14ac:dyDescent="0.4">
      <c r="A50" s="15"/>
      <c r="B50" s="15"/>
      <c r="C50" s="15"/>
      <c r="D50" s="15"/>
      <c r="E50" s="24">
        <f>DATE(2005,6,16)</f>
        <v>38519</v>
      </c>
      <c r="F50" s="29" t="s">
        <v>51</v>
      </c>
      <c r="G50" s="15">
        <v>1</v>
      </c>
      <c r="H50" s="15">
        <v>50</v>
      </c>
    </row>
    <row r="51" spans="1:8" s="18" customFormat="1" x14ac:dyDescent="0.4">
      <c r="A51" s="16">
        <v>10</v>
      </c>
      <c r="B51" s="16" t="s">
        <v>174</v>
      </c>
      <c r="C51" s="16" t="s">
        <v>208</v>
      </c>
      <c r="D51" s="16"/>
      <c r="E51" s="17" t="s">
        <v>256</v>
      </c>
      <c r="F51" s="46" t="s">
        <v>51</v>
      </c>
      <c r="G51" s="16">
        <v>1</v>
      </c>
      <c r="H51" s="18">
        <v>50</v>
      </c>
    </row>
    <row r="52" spans="1:8" s="18" customFormat="1" x14ac:dyDescent="0.4">
      <c r="A52" s="16"/>
      <c r="B52" s="16" t="s">
        <v>115</v>
      </c>
      <c r="C52" s="16" t="s">
        <v>113</v>
      </c>
      <c r="D52" s="16"/>
      <c r="E52" s="17">
        <f>DATE(2005,7,1)</f>
        <v>38534</v>
      </c>
      <c r="F52" s="46" t="s">
        <v>51</v>
      </c>
      <c r="G52" s="16">
        <v>1</v>
      </c>
      <c r="H52" s="18">
        <v>50</v>
      </c>
    </row>
    <row r="53" spans="1:8" s="18" customFormat="1" x14ac:dyDescent="0.4">
      <c r="A53" s="16"/>
      <c r="B53" s="16"/>
      <c r="C53" s="16"/>
      <c r="D53" s="16"/>
      <c r="E53" s="17">
        <f>DATE(2005,7,26)</f>
        <v>38559</v>
      </c>
      <c r="F53" s="46" t="s">
        <v>51</v>
      </c>
      <c r="G53" s="16">
        <v>1</v>
      </c>
      <c r="H53" s="18">
        <v>50</v>
      </c>
    </row>
    <row r="54" spans="1:8" x14ac:dyDescent="0.4">
      <c r="A54" s="15">
        <v>11</v>
      </c>
      <c r="B54" s="15" t="s">
        <v>174</v>
      </c>
      <c r="C54" s="15" t="s">
        <v>208</v>
      </c>
      <c r="D54" s="15"/>
      <c r="E54" s="26" t="s">
        <v>179</v>
      </c>
      <c r="F54" s="29" t="s">
        <v>51</v>
      </c>
      <c r="G54" s="15">
        <v>1</v>
      </c>
      <c r="H54" s="15">
        <v>50</v>
      </c>
    </row>
    <row r="55" spans="1:8" x14ac:dyDescent="0.4">
      <c r="A55" s="15"/>
      <c r="B55" s="15" t="s">
        <v>115</v>
      </c>
      <c r="C55" s="15" t="s">
        <v>113</v>
      </c>
      <c r="D55" s="15"/>
      <c r="E55" s="24">
        <f>DATE(2005,8,1)</f>
        <v>38565</v>
      </c>
      <c r="F55" s="29" t="s">
        <v>51</v>
      </c>
      <c r="G55" s="15">
        <v>1</v>
      </c>
      <c r="H55" s="15">
        <v>50</v>
      </c>
    </row>
    <row r="56" spans="1:8" x14ac:dyDescent="0.4">
      <c r="A56" s="15"/>
      <c r="B56" s="15"/>
      <c r="C56" s="15"/>
      <c r="D56" s="15"/>
      <c r="E56" s="24">
        <f>DATE(2005,8,3)</f>
        <v>38567</v>
      </c>
      <c r="F56" s="29" t="s">
        <v>51</v>
      </c>
      <c r="G56" s="15">
        <v>1</v>
      </c>
      <c r="H56" s="15">
        <v>50</v>
      </c>
    </row>
    <row r="57" spans="1:8" s="18" customFormat="1" x14ac:dyDescent="0.4">
      <c r="A57" s="16">
        <v>12</v>
      </c>
      <c r="B57" s="16" t="s">
        <v>115</v>
      </c>
      <c r="C57" s="16" t="s">
        <v>113</v>
      </c>
      <c r="D57" s="16"/>
      <c r="E57" s="17">
        <f>DATE(2005,9,2)</f>
        <v>38597</v>
      </c>
      <c r="F57" s="46" t="s">
        <v>51</v>
      </c>
      <c r="G57" s="16">
        <v>1</v>
      </c>
      <c r="H57" s="18">
        <v>50</v>
      </c>
    </row>
    <row r="58" spans="1:8" s="18" customFormat="1" x14ac:dyDescent="0.4">
      <c r="A58" s="16"/>
      <c r="B58" s="16"/>
      <c r="C58" s="16"/>
      <c r="D58" s="16"/>
      <c r="E58" s="17">
        <f>DATE(2005,9,4)</f>
        <v>38599</v>
      </c>
      <c r="F58" s="46" t="s">
        <v>51</v>
      </c>
      <c r="G58" s="16">
        <v>1</v>
      </c>
      <c r="H58" s="18">
        <v>50</v>
      </c>
    </row>
    <row r="59" spans="1:8" s="18" customFormat="1" x14ac:dyDescent="0.4">
      <c r="A59" s="16"/>
      <c r="B59" s="16"/>
      <c r="C59" s="16"/>
      <c r="D59" s="16"/>
      <c r="E59" s="17">
        <f>DATE(2005,9,9)</f>
        <v>38604</v>
      </c>
      <c r="F59" s="46" t="s">
        <v>51</v>
      </c>
      <c r="G59" s="16">
        <v>1</v>
      </c>
      <c r="H59" s="18">
        <v>50</v>
      </c>
    </row>
    <row r="60" spans="1:8" s="18" customFormat="1" x14ac:dyDescent="0.4">
      <c r="A60" s="16"/>
      <c r="B60" s="16"/>
      <c r="C60" s="16"/>
      <c r="D60" s="16"/>
      <c r="E60" s="17">
        <f>DATE(2005,9,10)</f>
        <v>38605</v>
      </c>
      <c r="F60" s="46" t="s">
        <v>51</v>
      </c>
      <c r="G60" s="16">
        <v>1</v>
      </c>
      <c r="H60" s="18">
        <v>50</v>
      </c>
    </row>
    <row r="61" spans="1:8" s="18" customFormat="1" x14ac:dyDescent="0.4">
      <c r="A61" s="16"/>
      <c r="B61" s="16"/>
      <c r="C61" s="16"/>
      <c r="D61" s="16"/>
      <c r="E61" s="17">
        <f>DATE(2005,9,21)</f>
        <v>38616</v>
      </c>
      <c r="F61" s="46" t="s">
        <v>51</v>
      </c>
      <c r="G61" s="16">
        <v>1</v>
      </c>
      <c r="H61" s="18">
        <v>50</v>
      </c>
    </row>
    <row r="62" spans="1:8" s="18" customFormat="1" x14ac:dyDescent="0.4">
      <c r="A62" s="16"/>
      <c r="B62" s="16"/>
      <c r="C62" s="16"/>
      <c r="D62" s="16"/>
      <c r="E62" s="17">
        <f>DATE(2005,9,30)</f>
        <v>38625</v>
      </c>
      <c r="F62" s="46" t="s">
        <v>51</v>
      </c>
      <c r="G62" s="16">
        <v>1</v>
      </c>
      <c r="H62" s="18">
        <v>50</v>
      </c>
    </row>
    <row r="63" spans="1:8" x14ac:dyDescent="0.4">
      <c r="A63" s="15">
        <v>13</v>
      </c>
      <c r="B63" s="15" t="s">
        <v>76</v>
      </c>
      <c r="C63" s="15" t="s">
        <v>208</v>
      </c>
      <c r="D63" s="15"/>
      <c r="E63" s="26" t="s">
        <v>180</v>
      </c>
      <c r="F63" s="29" t="s">
        <v>51</v>
      </c>
      <c r="G63" s="15">
        <v>1</v>
      </c>
      <c r="H63" s="15">
        <v>50</v>
      </c>
    </row>
    <row r="64" spans="1:8" x14ac:dyDescent="0.4">
      <c r="A64" s="15"/>
      <c r="B64" s="15" t="s">
        <v>115</v>
      </c>
      <c r="C64" s="15" t="s">
        <v>113</v>
      </c>
      <c r="D64" s="15"/>
      <c r="E64" s="24">
        <f>DATE(2005,10,1)</f>
        <v>38626</v>
      </c>
      <c r="F64" s="29" t="s">
        <v>51</v>
      </c>
      <c r="G64" s="15">
        <v>1</v>
      </c>
      <c r="H64" s="15">
        <v>50</v>
      </c>
    </row>
    <row r="65" spans="1:8" x14ac:dyDescent="0.4">
      <c r="A65" s="15"/>
      <c r="B65" s="15"/>
      <c r="C65" s="15"/>
      <c r="D65" s="15"/>
      <c r="E65" s="24">
        <f>DATE(2005,10,13)</f>
        <v>38638</v>
      </c>
      <c r="F65" s="29" t="s">
        <v>51</v>
      </c>
      <c r="G65" s="15">
        <v>1</v>
      </c>
      <c r="H65" s="15">
        <v>50</v>
      </c>
    </row>
    <row r="66" spans="1:8" x14ac:dyDescent="0.4">
      <c r="A66" s="15"/>
      <c r="B66" s="15"/>
      <c r="C66" s="15"/>
      <c r="D66" s="15"/>
      <c r="E66" s="24">
        <f>DATE(2005,10,28)</f>
        <v>38653</v>
      </c>
      <c r="F66" s="29" t="s">
        <v>51</v>
      </c>
      <c r="G66" s="15">
        <v>1</v>
      </c>
      <c r="H66" s="15">
        <v>50</v>
      </c>
    </row>
    <row r="67" spans="1:8" s="18" customFormat="1" x14ac:dyDescent="0.4">
      <c r="A67" s="16">
        <v>14</v>
      </c>
      <c r="B67" s="16" t="s">
        <v>174</v>
      </c>
      <c r="C67" s="16" t="s">
        <v>208</v>
      </c>
      <c r="D67" s="16"/>
      <c r="E67" s="17" t="s">
        <v>181</v>
      </c>
      <c r="F67" s="46" t="s">
        <v>51</v>
      </c>
      <c r="G67" s="16">
        <v>1</v>
      </c>
      <c r="H67" s="18">
        <v>50</v>
      </c>
    </row>
    <row r="68" spans="1:8" s="18" customFormat="1" x14ac:dyDescent="0.4">
      <c r="A68" s="16"/>
      <c r="B68" s="16" t="s">
        <v>115</v>
      </c>
      <c r="C68" s="16" t="s">
        <v>113</v>
      </c>
      <c r="D68" s="16"/>
      <c r="E68" s="17">
        <f>DATE(2006,6,1)</f>
        <v>38869</v>
      </c>
      <c r="F68" s="46" t="s">
        <v>51</v>
      </c>
      <c r="G68" s="16">
        <v>1</v>
      </c>
      <c r="H68" s="18">
        <v>50</v>
      </c>
    </row>
    <row r="69" spans="1:8" s="18" customFormat="1" x14ac:dyDescent="0.4">
      <c r="A69" s="16"/>
      <c r="B69" s="16"/>
      <c r="C69" s="16"/>
      <c r="D69" s="16"/>
      <c r="E69" s="17">
        <f>DATE(2006,6,10)</f>
        <v>38878</v>
      </c>
      <c r="F69" s="46" t="s">
        <v>51</v>
      </c>
      <c r="G69" s="16">
        <v>1</v>
      </c>
      <c r="H69" s="18">
        <v>50</v>
      </c>
    </row>
    <row r="70" spans="1:8" s="18" customFormat="1" x14ac:dyDescent="0.4">
      <c r="A70" s="16"/>
      <c r="B70" s="16"/>
      <c r="C70" s="16"/>
      <c r="D70" s="16"/>
      <c r="E70" s="17">
        <f>DATE(2006,6,11)</f>
        <v>38879</v>
      </c>
      <c r="F70" s="46" t="s">
        <v>51</v>
      </c>
      <c r="G70" s="16">
        <v>1</v>
      </c>
      <c r="H70" s="18">
        <v>50</v>
      </c>
    </row>
    <row r="71" spans="1:8" s="18" customFormat="1" x14ac:dyDescent="0.4">
      <c r="A71" s="16"/>
      <c r="B71" s="16"/>
      <c r="C71" s="16"/>
      <c r="D71" s="16"/>
      <c r="E71" s="17">
        <f>DATE(2006,6,14)</f>
        <v>38882</v>
      </c>
      <c r="F71" s="46" t="s">
        <v>51</v>
      </c>
      <c r="G71" s="16">
        <v>1</v>
      </c>
      <c r="H71" s="18">
        <v>50</v>
      </c>
    </row>
    <row r="72" spans="1:8" s="18" customFormat="1" x14ac:dyDescent="0.4">
      <c r="A72" s="16"/>
      <c r="B72" s="16"/>
      <c r="C72" s="16"/>
      <c r="D72" s="16"/>
      <c r="E72" s="17">
        <f>DATE(2006,6,15)</f>
        <v>38883</v>
      </c>
      <c r="F72" s="46" t="s">
        <v>51</v>
      </c>
      <c r="G72" s="16">
        <v>1</v>
      </c>
      <c r="H72" s="18">
        <v>50</v>
      </c>
    </row>
    <row r="73" spans="1:8" s="18" customFormat="1" x14ac:dyDescent="0.4">
      <c r="A73" s="16"/>
      <c r="B73" s="16"/>
      <c r="C73" s="16"/>
      <c r="D73" s="16"/>
      <c r="E73" s="17">
        <f>DATE(2006,6,16)</f>
        <v>38884</v>
      </c>
      <c r="F73" s="46" t="s">
        <v>51</v>
      </c>
      <c r="G73" s="16">
        <v>4</v>
      </c>
      <c r="H73" s="18">
        <v>50</v>
      </c>
    </row>
    <row r="74" spans="1:8" s="18" customFormat="1" x14ac:dyDescent="0.4">
      <c r="A74" s="16"/>
      <c r="B74" s="16"/>
      <c r="C74" s="16"/>
      <c r="D74" s="16"/>
      <c r="E74" s="17">
        <f>DATE(2006,6,19)</f>
        <v>38887</v>
      </c>
      <c r="F74" s="46" t="s">
        <v>51</v>
      </c>
      <c r="G74" s="16">
        <v>1</v>
      </c>
      <c r="H74" s="18">
        <v>50</v>
      </c>
    </row>
    <row r="75" spans="1:8" s="18" customFormat="1" x14ac:dyDescent="0.4">
      <c r="A75" s="16"/>
      <c r="B75" s="16"/>
      <c r="C75" s="16"/>
      <c r="D75" s="16"/>
      <c r="E75" s="17">
        <f>DATE(2006,6,20)</f>
        <v>38888</v>
      </c>
      <c r="F75" s="46" t="s">
        <v>51</v>
      </c>
      <c r="G75" s="16">
        <v>4</v>
      </c>
      <c r="H75" s="18">
        <v>50</v>
      </c>
    </row>
    <row r="76" spans="1:8" s="18" customFormat="1" x14ac:dyDescent="0.4">
      <c r="A76" s="16"/>
      <c r="B76" s="16"/>
      <c r="C76" s="16"/>
      <c r="D76" s="16"/>
      <c r="E76" s="17">
        <f>DATE(2006,6,23)</f>
        <v>38891</v>
      </c>
      <c r="F76" s="46" t="s">
        <v>51</v>
      </c>
      <c r="G76" s="16">
        <v>4</v>
      </c>
      <c r="H76" s="18">
        <v>50</v>
      </c>
    </row>
    <row r="77" spans="1:8" s="18" customFormat="1" x14ac:dyDescent="0.4">
      <c r="A77" s="16"/>
      <c r="B77" s="16"/>
      <c r="C77" s="16"/>
      <c r="D77" s="16"/>
      <c r="E77" s="17">
        <f>DATE(2006,6,27)</f>
        <v>38895</v>
      </c>
      <c r="F77" s="46" t="s">
        <v>51</v>
      </c>
      <c r="G77" s="16">
        <v>1</v>
      </c>
      <c r="H77" s="18">
        <v>50</v>
      </c>
    </row>
    <row r="78" spans="1:8" x14ac:dyDescent="0.4">
      <c r="A78" s="15">
        <v>15</v>
      </c>
      <c r="B78" s="15" t="s">
        <v>174</v>
      </c>
      <c r="C78" s="15" t="s">
        <v>208</v>
      </c>
      <c r="D78" s="15"/>
      <c r="E78" s="26" t="s">
        <v>182</v>
      </c>
      <c r="F78" s="29" t="s">
        <v>51</v>
      </c>
      <c r="G78" s="15">
        <v>1</v>
      </c>
      <c r="H78" s="15">
        <v>50</v>
      </c>
    </row>
    <row r="79" spans="1:8" x14ac:dyDescent="0.4">
      <c r="A79" s="15"/>
      <c r="B79" s="15" t="s">
        <v>115</v>
      </c>
      <c r="C79" s="15" t="s">
        <v>113</v>
      </c>
      <c r="D79" s="15"/>
      <c r="E79" s="24">
        <f>DATE(2006,7,1)</f>
        <v>38899</v>
      </c>
      <c r="F79" s="29" t="s">
        <v>51</v>
      </c>
      <c r="G79" s="15">
        <v>4</v>
      </c>
      <c r="H79" s="15">
        <v>50</v>
      </c>
    </row>
    <row r="80" spans="1:8" x14ac:dyDescent="0.4">
      <c r="A80" s="15"/>
      <c r="B80" s="15"/>
      <c r="C80" s="15"/>
      <c r="D80" s="15"/>
      <c r="E80" s="24">
        <f>DATE(2006,7,2)</f>
        <v>38900</v>
      </c>
      <c r="F80" s="29" t="s">
        <v>51</v>
      </c>
      <c r="G80" s="15">
        <v>4</v>
      </c>
      <c r="H80" s="15">
        <v>50</v>
      </c>
    </row>
    <row r="81" spans="1:8" x14ac:dyDescent="0.4">
      <c r="A81" s="15"/>
      <c r="B81" s="15"/>
      <c r="C81" s="15"/>
      <c r="D81" s="15"/>
      <c r="E81" s="24">
        <f>DATE(2006,7,3)</f>
        <v>38901</v>
      </c>
      <c r="F81" s="29" t="s">
        <v>51</v>
      </c>
      <c r="G81" s="15">
        <v>7</v>
      </c>
      <c r="H81" s="15">
        <v>50</v>
      </c>
    </row>
    <row r="82" spans="1:8" x14ac:dyDescent="0.4">
      <c r="A82" s="15"/>
      <c r="B82" s="15"/>
      <c r="C82" s="15"/>
      <c r="D82" s="15"/>
      <c r="E82" s="24">
        <f>DATE(2006,7,4)</f>
        <v>38902</v>
      </c>
      <c r="F82" s="29" t="s">
        <v>51</v>
      </c>
      <c r="G82" s="15">
        <v>4</v>
      </c>
      <c r="H82" s="15">
        <v>50</v>
      </c>
    </row>
    <row r="83" spans="1:8" x14ac:dyDescent="0.4">
      <c r="A83" s="15"/>
      <c r="B83" s="15"/>
      <c r="C83" s="15"/>
      <c r="D83" s="15"/>
      <c r="E83" s="24">
        <f>DATE(2006,7,5)</f>
        <v>38903</v>
      </c>
      <c r="F83" s="29" t="s">
        <v>51</v>
      </c>
      <c r="G83" s="15">
        <v>3</v>
      </c>
      <c r="H83" s="15">
        <v>50</v>
      </c>
    </row>
    <row r="84" spans="1:8" x14ac:dyDescent="0.4">
      <c r="A84" s="15"/>
      <c r="B84" s="15"/>
      <c r="C84" s="15"/>
      <c r="D84" s="15"/>
      <c r="E84" s="24">
        <f>DATE(2006,7,6)</f>
        <v>38904</v>
      </c>
      <c r="F84" s="29" t="s">
        <v>51</v>
      </c>
      <c r="G84" s="15">
        <v>4</v>
      </c>
      <c r="H84" s="15">
        <v>50</v>
      </c>
    </row>
    <row r="85" spans="1:8" x14ac:dyDescent="0.4">
      <c r="A85" s="15"/>
      <c r="B85" s="15"/>
      <c r="C85" s="15"/>
      <c r="D85" s="15"/>
      <c r="E85" s="24">
        <f>DATE(2006,7,7)</f>
        <v>38905</v>
      </c>
      <c r="F85" s="29" t="s">
        <v>51</v>
      </c>
      <c r="G85" s="15">
        <v>5</v>
      </c>
      <c r="H85" s="15">
        <v>50</v>
      </c>
    </row>
    <row r="86" spans="1:8" x14ac:dyDescent="0.4">
      <c r="A86" s="15"/>
      <c r="B86" s="15"/>
      <c r="C86" s="15"/>
      <c r="D86" s="15"/>
      <c r="E86" s="24">
        <f>DATE(2006,7,12)</f>
        <v>38910</v>
      </c>
      <c r="F86" s="29" t="s">
        <v>51</v>
      </c>
      <c r="G86" s="15">
        <v>2</v>
      </c>
      <c r="H86" s="15">
        <v>50</v>
      </c>
    </row>
    <row r="87" spans="1:8" x14ac:dyDescent="0.4">
      <c r="A87" s="15"/>
      <c r="B87" s="15"/>
      <c r="C87" s="15"/>
      <c r="D87" s="15"/>
      <c r="E87" s="24">
        <f>DATE(2006,7,17)</f>
        <v>38915</v>
      </c>
      <c r="F87" s="29" t="s">
        <v>51</v>
      </c>
      <c r="G87" s="15">
        <v>1</v>
      </c>
      <c r="H87" s="15">
        <v>50</v>
      </c>
    </row>
    <row r="88" spans="1:8" x14ac:dyDescent="0.4">
      <c r="A88" s="15"/>
      <c r="B88" s="15"/>
      <c r="C88" s="15"/>
      <c r="D88" s="15"/>
      <c r="E88" s="24">
        <f>DATE(2006,7,18)</f>
        <v>38916</v>
      </c>
      <c r="F88" s="29" t="s">
        <v>51</v>
      </c>
      <c r="G88" s="15">
        <v>1</v>
      </c>
      <c r="H88" s="15">
        <v>50</v>
      </c>
    </row>
    <row r="89" spans="1:8" x14ac:dyDescent="0.4">
      <c r="A89" s="15"/>
      <c r="B89" s="15"/>
      <c r="C89" s="15"/>
      <c r="D89" s="15"/>
      <c r="E89" s="24">
        <f>DATE(2006,7,21)</f>
        <v>38919</v>
      </c>
      <c r="F89" s="29" t="s">
        <v>51</v>
      </c>
      <c r="G89" s="15">
        <v>1</v>
      </c>
      <c r="H89" s="15">
        <v>50</v>
      </c>
    </row>
    <row r="90" spans="1:8" x14ac:dyDescent="0.4">
      <c r="A90" s="15"/>
      <c r="B90" s="15"/>
      <c r="C90" s="15"/>
      <c r="D90" s="15"/>
      <c r="E90" s="24">
        <f>DATE(2006,7,27)</f>
        <v>38925</v>
      </c>
      <c r="F90" s="29" t="s">
        <v>51</v>
      </c>
      <c r="G90" s="15">
        <v>1</v>
      </c>
      <c r="H90" s="15">
        <v>50</v>
      </c>
    </row>
    <row r="91" spans="1:8" s="18" customFormat="1" x14ac:dyDescent="0.4">
      <c r="A91" s="16">
        <v>16</v>
      </c>
      <c r="B91" s="16" t="s">
        <v>257</v>
      </c>
      <c r="C91" s="16"/>
      <c r="D91" s="16"/>
      <c r="E91" s="17"/>
      <c r="F91" s="46" t="s">
        <v>87</v>
      </c>
      <c r="G91" s="16">
        <v>16</v>
      </c>
      <c r="H91" s="18">
        <v>50</v>
      </c>
    </row>
    <row r="92" spans="1:8" x14ac:dyDescent="0.4">
      <c r="A92" s="15">
        <v>17</v>
      </c>
      <c r="B92" s="15" t="s">
        <v>258</v>
      </c>
      <c r="C92" s="15"/>
      <c r="D92" s="15"/>
      <c r="E92" s="24"/>
      <c r="F92" s="29" t="s">
        <v>87</v>
      </c>
      <c r="G92" s="15">
        <v>8</v>
      </c>
      <c r="H92" s="15">
        <v>50</v>
      </c>
    </row>
    <row r="93" spans="1:8" x14ac:dyDescent="0.4">
      <c r="G93" s="13">
        <f>SUM(G3:G92)</f>
        <v>175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9B5F2-611A-4BB9-9FC4-71F415397ADE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21875" style="13" customWidth="1"/>
    <col min="2" max="2" width="18" style="13" customWidth="1"/>
    <col min="3" max="3" width="16.77734375" style="13" customWidth="1"/>
    <col min="4" max="4" width="30.77734375" style="13" customWidth="1"/>
    <col min="5" max="5" width="14.77734375" style="14" customWidth="1"/>
    <col min="6" max="6" width="8.6640625" style="13" customWidth="1"/>
    <col min="7" max="7" width="4.5546875" style="13" bestFit="1" customWidth="1"/>
    <col min="8" max="8" width="6.109375" style="15" customWidth="1"/>
    <col min="9" max="16384" width="11.5546875" style="15"/>
  </cols>
  <sheetData>
    <row r="1" spans="1:8" s="21" customFormat="1" x14ac:dyDescent="0.4">
      <c r="A1" s="95" t="s">
        <v>259</v>
      </c>
      <c r="B1" s="95"/>
      <c r="C1" s="95"/>
      <c r="E1" s="28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260</v>
      </c>
      <c r="E3" s="14" t="s">
        <v>50</v>
      </c>
      <c r="F3" s="19" t="s">
        <v>51</v>
      </c>
      <c r="G3" s="13">
        <v>8</v>
      </c>
      <c r="H3" s="15">
        <v>50</v>
      </c>
    </row>
    <row r="4" spans="1:8" x14ac:dyDescent="0.4">
      <c r="G4" s="13">
        <f>SUM(G3)</f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03515-F67A-49F0-BA7B-42583E56CDEB}">
  <dimension ref="A1:H34"/>
  <sheetViews>
    <sheetView topLeftCell="A17" workbookViewId="0">
      <selection activeCell="G34" sqref="G34"/>
    </sheetView>
  </sheetViews>
  <sheetFormatPr defaultColWidth="11.5546875" defaultRowHeight="12" x14ac:dyDescent="0.4"/>
  <cols>
    <col min="1" max="1" width="3.21875" style="13" customWidth="1"/>
    <col min="2" max="2" width="29.21875" style="13" customWidth="1"/>
    <col min="3" max="3" width="16.77734375" style="13" customWidth="1"/>
    <col min="4" max="4" width="19" style="13" customWidth="1"/>
    <col min="5" max="5" width="14.77734375" style="14" customWidth="1"/>
    <col min="6" max="6" width="7.44140625" style="19" customWidth="1"/>
    <col min="7" max="7" width="4.5546875" style="13" bestFit="1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261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5">
        <v>1</v>
      </c>
      <c r="B3" s="15" t="s">
        <v>262</v>
      </c>
      <c r="C3" s="15" t="s">
        <v>208</v>
      </c>
      <c r="D3" s="15"/>
      <c r="E3" s="26" t="s">
        <v>263</v>
      </c>
      <c r="F3" s="29" t="s">
        <v>51</v>
      </c>
      <c r="G3" s="15">
        <v>1</v>
      </c>
      <c r="H3" s="15">
        <v>50</v>
      </c>
    </row>
    <row r="4" spans="1:8" x14ac:dyDescent="0.4">
      <c r="A4" s="15"/>
      <c r="B4" s="15" t="s">
        <v>112</v>
      </c>
      <c r="C4" s="15" t="s">
        <v>113</v>
      </c>
      <c r="D4" s="15"/>
      <c r="E4" s="24">
        <f>DATE(2006,11,1)</f>
        <v>39022</v>
      </c>
      <c r="F4" s="29" t="s">
        <v>51</v>
      </c>
      <c r="G4" s="15">
        <v>6</v>
      </c>
      <c r="H4" s="15">
        <v>50</v>
      </c>
    </row>
    <row r="5" spans="1:8" x14ac:dyDescent="0.4">
      <c r="A5" s="15"/>
      <c r="B5" s="15"/>
      <c r="C5" s="15"/>
      <c r="D5" s="15"/>
      <c r="E5" s="24">
        <f>DATE(2006,11,2)</f>
        <v>39023</v>
      </c>
      <c r="F5" s="29" t="s">
        <v>51</v>
      </c>
      <c r="G5" s="15">
        <v>8</v>
      </c>
      <c r="H5" s="15">
        <v>50</v>
      </c>
    </row>
    <row r="6" spans="1:8" x14ac:dyDescent="0.4">
      <c r="A6" s="15"/>
      <c r="B6" s="15"/>
      <c r="C6" s="15"/>
      <c r="D6" s="15"/>
      <c r="E6" s="24">
        <f>DATE(2006,11,3)</f>
        <v>39024</v>
      </c>
      <c r="F6" s="29" t="s">
        <v>51</v>
      </c>
      <c r="G6" s="15">
        <v>10</v>
      </c>
      <c r="H6" s="15">
        <v>50</v>
      </c>
    </row>
    <row r="7" spans="1:8" x14ac:dyDescent="0.4">
      <c r="A7" s="15"/>
      <c r="B7" s="15"/>
      <c r="C7" s="15"/>
      <c r="D7" s="15"/>
      <c r="E7" s="24">
        <f>DATE(2006,11,4)</f>
        <v>39025</v>
      </c>
      <c r="F7" s="29" t="s">
        <v>51</v>
      </c>
      <c r="G7" s="15">
        <v>3</v>
      </c>
      <c r="H7" s="15">
        <v>50</v>
      </c>
    </row>
    <row r="8" spans="1:8" x14ac:dyDescent="0.4">
      <c r="A8" s="15"/>
      <c r="B8" s="15"/>
      <c r="C8" s="15"/>
      <c r="D8" s="15"/>
      <c r="E8" s="24">
        <f>DATE(2006,11,5)</f>
        <v>39026</v>
      </c>
      <c r="F8" s="29" t="s">
        <v>51</v>
      </c>
      <c r="G8" s="15">
        <v>3</v>
      </c>
      <c r="H8" s="15">
        <v>50</v>
      </c>
    </row>
    <row r="9" spans="1:8" x14ac:dyDescent="0.4">
      <c r="A9" s="15"/>
      <c r="B9" s="15"/>
      <c r="C9" s="15"/>
      <c r="D9" s="15"/>
      <c r="E9" s="24">
        <f>DATE(2006,11,6)</f>
        <v>39027</v>
      </c>
      <c r="F9" s="29" t="s">
        <v>51</v>
      </c>
      <c r="G9" s="15">
        <v>3</v>
      </c>
      <c r="H9" s="15">
        <v>50</v>
      </c>
    </row>
    <row r="10" spans="1:8" x14ac:dyDescent="0.4">
      <c r="A10" s="15"/>
      <c r="B10" s="15"/>
      <c r="C10" s="15"/>
      <c r="D10" s="15"/>
      <c r="E10" s="24">
        <f>DATE(2006,11,7)</f>
        <v>39028</v>
      </c>
      <c r="F10" s="29" t="s">
        <v>51</v>
      </c>
      <c r="G10" s="15">
        <v>3</v>
      </c>
      <c r="H10" s="15">
        <v>50</v>
      </c>
    </row>
    <row r="11" spans="1:8" x14ac:dyDescent="0.4">
      <c r="A11" s="15"/>
      <c r="B11" s="15"/>
      <c r="C11" s="15"/>
      <c r="D11" s="15"/>
      <c r="E11" s="24">
        <f>DATE(2006,11,8)</f>
        <v>39029</v>
      </c>
      <c r="F11" s="29" t="s">
        <v>51</v>
      </c>
      <c r="G11" s="15">
        <v>2</v>
      </c>
      <c r="H11" s="15">
        <v>50</v>
      </c>
    </row>
    <row r="12" spans="1:8" x14ac:dyDescent="0.4">
      <c r="A12" s="15"/>
      <c r="B12" s="15"/>
      <c r="C12" s="15"/>
      <c r="D12" s="15"/>
      <c r="E12" s="24">
        <f>DATE(2006,11,9)</f>
        <v>39030</v>
      </c>
      <c r="F12" s="29" t="s">
        <v>51</v>
      </c>
      <c r="G12" s="15">
        <v>3</v>
      </c>
      <c r="H12" s="15">
        <v>50</v>
      </c>
    </row>
    <row r="13" spans="1:8" x14ac:dyDescent="0.4">
      <c r="A13" s="15"/>
      <c r="B13" s="15"/>
      <c r="C13" s="15"/>
      <c r="D13" s="15"/>
      <c r="E13" s="24">
        <f>DATE(2006,11,10)</f>
        <v>39031</v>
      </c>
      <c r="F13" s="29" t="s">
        <v>51</v>
      </c>
      <c r="G13" s="15">
        <v>3</v>
      </c>
      <c r="H13" s="15">
        <v>50</v>
      </c>
    </row>
    <row r="14" spans="1:8" x14ac:dyDescent="0.4">
      <c r="A14" s="15"/>
      <c r="B14" s="15"/>
      <c r="C14" s="15"/>
      <c r="D14" s="15"/>
      <c r="E14" s="24">
        <f>DATE(2006,11,11)</f>
        <v>39032</v>
      </c>
      <c r="F14" s="29" t="s">
        <v>51</v>
      </c>
      <c r="G14" s="15">
        <v>2</v>
      </c>
      <c r="H14" s="15">
        <v>50</v>
      </c>
    </row>
    <row r="15" spans="1:8" x14ac:dyDescent="0.4">
      <c r="A15" s="15"/>
      <c r="B15" s="15"/>
      <c r="C15" s="15"/>
      <c r="D15" s="15"/>
      <c r="E15" s="24">
        <f>DATE(2006,11,12)</f>
        <v>39033</v>
      </c>
      <c r="F15" s="29" t="s">
        <v>51</v>
      </c>
      <c r="G15" s="15">
        <v>3</v>
      </c>
      <c r="H15" s="15">
        <v>50</v>
      </c>
    </row>
    <row r="16" spans="1:8" x14ac:dyDescent="0.4">
      <c r="A16" s="15"/>
      <c r="B16" s="15"/>
      <c r="C16" s="15"/>
      <c r="D16" s="15"/>
      <c r="E16" s="24">
        <f>DATE(2006,11,13)</f>
        <v>39034</v>
      </c>
      <c r="F16" s="29" t="s">
        <v>51</v>
      </c>
      <c r="G16" s="15">
        <v>3</v>
      </c>
      <c r="H16" s="15">
        <v>50</v>
      </c>
    </row>
    <row r="17" spans="1:8" x14ac:dyDescent="0.4">
      <c r="A17" s="15"/>
      <c r="B17" s="15"/>
      <c r="C17" s="15"/>
      <c r="D17" s="15"/>
      <c r="E17" s="24">
        <f>DATE(2006,11,14)</f>
        <v>39035</v>
      </c>
      <c r="F17" s="29" t="s">
        <v>51</v>
      </c>
      <c r="G17" s="15">
        <v>3</v>
      </c>
      <c r="H17" s="15">
        <v>50</v>
      </c>
    </row>
    <row r="18" spans="1:8" x14ac:dyDescent="0.4">
      <c r="A18" s="15"/>
      <c r="B18" s="15"/>
      <c r="C18" s="15"/>
      <c r="D18" s="15"/>
      <c r="E18" s="24">
        <f>DATE(2006,11,15)</f>
        <v>39036</v>
      </c>
      <c r="F18" s="29" t="s">
        <v>51</v>
      </c>
      <c r="G18" s="15">
        <v>1</v>
      </c>
      <c r="H18" s="15">
        <v>50</v>
      </c>
    </row>
    <row r="19" spans="1:8" x14ac:dyDescent="0.4">
      <c r="A19" s="15"/>
      <c r="B19" s="15"/>
      <c r="C19" s="15"/>
      <c r="D19" s="15"/>
      <c r="E19" s="24">
        <f>DATE(2006,11,16)</f>
        <v>39037</v>
      </c>
      <c r="F19" s="29" t="s">
        <v>51</v>
      </c>
      <c r="G19" s="15">
        <v>2</v>
      </c>
      <c r="H19" s="15">
        <v>50</v>
      </c>
    </row>
    <row r="20" spans="1:8" x14ac:dyDescent="0.4">
      <c r="A20" s="15"/>
      <c r="B20" s="15"/>
      <c r="C20" s="15"/>
      <c r="D20" s="15"/>
      <c r="E20" s="24">
        <f>DATE(2006,11,17)</f>
        <v>39038</v>
      </c>
      <c r="F20" s="29" t="s">
        <v>51</v>
      </c>
      <c r="G20" s="15">
        <v>3</v>
      </c>
      <c r="H20" s="15">
        <v>50</v>
      </c>
    </row>
    <row r="21" spans="1:8" x14ac:dyDescent="0.4">
      <c r="A21" s="15"/>
      <c r="B21" s="15"/>
      <c r="C21" s="15"/>
      <c r="D21" s="15"/>
      <c r="E21" s="24">
        <f>DATE(2006,11,18)</f>
        <v>39039</v>
      </c>
      <c r="F21" s="29" t="s">
        <v>51</v>
      </c>
      <c r="G21" s="15">
        <v>3</v>
      </c>
      <c r="H21" s="15">
        <v>50</v>
      </c>
    </row>
    <row r="22" spans="1:8" x14ac:dyDescent="0.4">
      <c r="A22" s="15"/>
      <c r="B22" s="15"/>
      <c r="C22" s="15"/>
      <c r="D22" s="15"/>
      <c r="E22" s="24">
        <f>DATE(2006,11,19)</f>
        <v>39040</v>
      </c>
      <c r="F22" s="29" t="s">
        <v>51</v>
      </c>
      <c r="G22" s="15">
        <v>3</v>
      </c>
      <c r="H22" s="15">
        <v>50</v>
      </c>
    </row>
    <row r="23" spans="1:8" x14ac:dyDescent="0.4">
      <c r="A23" s="15"/>
      <c r="B23" s="15"/>
      <c r="C23" s="15"/>
      <c r="D23" s="15"/>
      <c r="E23" s="24">
        <f>DATE(2006,11,20)</f>
        <v>39041</v>
      </c>
      <c r="F23" s="29" t="s">
        <v>51</v>
      </c>
      <c r="G23" s="15">
        <v>2</v>
      </c>
      <c r="H23" s="15">
        <v>50</v>
      </c>
    </row>
    <row r="24" spans="1:8" x14ac:dyDescent="0.4">
      <c r="A24" s="15"/>
      <c r="B24" s="15"/>
      <c r="C24" s="15"/>
      <c r="D24" s="15"/>
      <c r="E24" s="24">
        <f>DATE(2006,11,21)</f>
        <v>39042</v>
      </c>
      <c r="F24" s="29" t="s">
        <v>51</v>
      </c>
      <c r="G24" s="15">
        <v>2</v>
      </c>
      <c r="H24" s="15">
        <v>50</v>
      </c>
    </row>
    <row r="25" spans="1:8" x14ac:dyDescent="0.4">
      <c r="E25" s="14">
        <f>DATE(2006,11,22)</f>
        <v>39043</v>
      </c>
      <c r="F25" s="29" t="s">
        <v>51</v>
      </c>
      <c r="G25" s="13">
        <v>3</v>
      </c>
      <c r="H25" s="15">
        <v>50</v>
      </c>
    </row>
    <row r="26" spans="1:8" x14ac:dyDescent="0.4">
      <c r="E26" s="14">
        <f>DATE(2006,11,23)</f>
        <v>39044</v>
      </c>
      <c r="F26" s="29" t="s">
        <v>51</v>
      </c>
      <c r="G26" s="13">
        <v>3</v>
      </c>
      <c r="H26" s="15">
        <v>50</v>
      </c>
    </row>
    <row r="27" spans="1:8" x14ac:dyDescent="0.4">
      <c r="E27" s="14">
        <f>DATE(2006,11,24)</f>
        <v>39045</v>
      </c>
      <c r="F27" s="29" t="s">
        <v>51</v>
      </c>
      <c r="G27" s="13">
        <v>2</v>
      </c>
      <c r="H27" s="15">
        <v>50</v>
      </c>
    </row>
    <row r="28" spans="1:8" x14ac:dyDescent="0.4">
      <c r="E28" s="14">
        <f>DATE(2006,11,25)</f>
        <v>39046</v>
      </c>
      <c r="F28" s="29" t="s">
        <v>51</v>
      </c>
      <c r="G28" s="13">
        <v>3</v>
      </c>
      <c r="H28" s="15">
        <v>50</v>
      </c>
    </row>
    <row r="29" spans="1:8" x14ac:dyDescent="0.4">
      <c r="E29" s="14">
        <f>DATE(2006,11,26)</f>
        <v>39047</v>
      </c>
      <c r="F29" s="29" t="s">
        <v>51</v>
      </c>
      <c r="G29" s="13">
        <v>3</v>
      </c>
      <c r="H29" s="15">
        <v>50</v>
      </c>
    </row>
    <row r="30" spans="1:8" x14ac:dyDescent="0.4">
      <c r="E30" s="14">
        <f>DATE(2006,11,27)</f>
        <v>39048</v>
      </c>
      <c r="F30" s="29" t="s">
        <v>51</v>
      </c>
      <c r="G30" s="13">
        <v>3</v>
      </c>
      <c r="H30" s="15">
        <v>50</v>
      </c>
    </row>
    <row r="31" spans="1:8" x14ac:dyDescent="0.4">
      <c r="E31" s="14">
        <f>DATE(2006,11,28)</f>
        <v>39049</v>
      </c>
      <c r="F31" s="29" t="s">
        <v>51</v>
      </c>
      <c r="G31" s="13">
        <v>2</v>
      </c>
      <c r="H31" s="15">
        <v>50</v>
      </c>
    </row>
    <row r="32" spans="1:8" x14ac:dyDescent="0.4">
      <c r="E32" s="14">
        <f>DATE(2006,11,29)</f>
        <v>39050</v>
      </c>
      <c r="F32" s="29" t="s">
        <v>51</v>
      </c>
      <c r="G32" s="13">
        <v>3</v>
      </c>
      <c r="H32" s="15">
        <v>50</v>
      </c>
    </row>
    <row r="33" spans="5:8" x14ac:dyDescent="0.4">
      <c r="E33" s="14">
        <f>DATE(2006,11,30)</f>
        <v>39051</v>
      </c>
      <c r="F33" s="29" t="s">
        <v>51</v>
      </c>
      <c r="G33" s="13">
        <v>3</v>
      </c>
      <c r="H33" s="15">
        <v>50</v>
      </c>
    </row>
    <row r="34" spans="5:8" x14ac:dyDescent="0.4">
      <c r="G34" s="13">
        <f>SUM(G3:G33)</f>
        <v>97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5F0F-294F-4BF7-AA3F-0423E8118C14}">
  <dimension ref="A1:H66"/>
  <sheetViews>
    <sheetView topLeftCell="A53" workbookViewId="0">
      <selection activeCell="G66" sqref="G66"/>
    </sheetView>
  </sheetViews>
  <sheetFormatPr defaultColWidth="11.5546875" defaultRowHeight="12" x14ac:dyDescent="0.4"/>
  <cols>
    <col min="1" max="1" width="4.5546875" style="13" customWidth="1"/>
    <col min="2" max="2" width="23" style="13" customWidth="1"/>
    <col min="3" max="3" width="16.77734375" style="13" customWidth="1"/>
    <col min="4" max="4" width="19" style="13" customWidth="1"/>
    <col min="5" max="5" width="12.109375" style="14" customWidth="1"/>
    <col min="6" max="6" width="7.6640625" style="19" customWidth="1"/>
    <col min="7" max="7" width="6.1093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264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174</v>
      </c>
      <c r="C3" s="13" t="s">
        <v>208</v>
      </c>
      <c r="E3" s="14" t="s">
        <v>265</v>
      </c>
      <c r="F3" s="19" t="s">
        <v>51</v>
      </c>
      <c r="G3" s="13">
        <v>1</v>
      </c>
      <c r="H3" s="15">
        <v>50</v>
      </c>
    </row>
    <row r="4" spans="1:8" x14ac:dyDescent="0.4">
      <c r="B4" s="13" t="s">
        <v>115</v>
      </c>
      <c r="C4" s="13" t="s">
        <v>113</v>
      </c>
      <c r="E4" s="14">
        <f>DATE(2011,3,1)</f>
        <v>40603</v>
      </c>
      <c r="F4" s="19" t="s">
        <v>51</v>
      </c>
      <c r="G4" s="13">
        <v>7</v>
      </c>
      <c r="H4" s="15">
        <v>50</v>
      </c>
    </row>
    <row r="5" spans="1:8" x14ac:dyDescent="0.4">
      <c r="E5" s="14">
        <f>DATE(2011,3,2)</f>
        <v>40604</v>
      </c>
      <c r="F5" s="19" t="s">
        <v>51</v>
      </c>
      <c r="G5" s="13">
        <v>6</v>
      </c>
      <c r="H5" s="15">
        <v>50</v>
      </c>
    </row>
    <row r="6" spans="1:8" x14ac:dyDescent="0.4">
      <c r="E6" s="14">
        <f>DATE(2011,3,3)</f>
        <v>40605</v>
      </c>
      <c r="F6" s="19" t="s">
        <v>51</v>
      </c>
      <c r="G6" s="13">
        <v>7</v>
      </c>
      <c r="H6" s="15">
        <v>50</v>
      </c>
    </row>
    <row r="7" spans="1:8" x14ac:dyDescent="0.4">
      <c r="E7" s="14">
        <f>DATE(2011,3,4)</f>
        <v>40606</v>
      </c>
      <c r="F7" s="19" t="s">
        <v>51</v>
      </c>
      <c r="G7" s="13">
        <v>6</v>
      </c>
      <c r="H7" s="15">
        <v>50</v>
      </c>
    </row>
    <row r="8" spans="1:8" x14ac:dyDescent="0.4">
      <c r="E8" s="14">
        <f>DATE(2011,3,5)</f>
        <v>40607</v>
      </c>
      <c r="F8" s="19" t="s">
        <v>51</v>
      </c>
      <c r="G8" s="13">
        <v>5</v>
      </c>
      <c r="H8" s="15">
        <v>50</v>
      </c>
    </row>
    <row r="9" spans="1:8" x14ac:dyDescent="0.4">
      <c r="E9" s="14">
        <f>DATE(2011,3,6)</f>
        <v>40608</v>
      </c>
      <c r="F9" s="19" t="s">
        <v>51</v>
      </c>
      <c r="G9" s="13">
        <v>6</v>
      </c>
      <c r="H9" s="15">
        <v>50</v>
      </c>
    </row>
    <row r="10" spans="1:8" x14ac:dyDescent="0.4">
      <c r="E10" s="14">
        <f>DATE(2011,3,7)</f>
        <v>40609</v>
      </c>
      <c r="F10" s="19" t="s">
        <v>51</v>
      </c>
      <c r="G10" s="13">
        <v>6</v>
      </c>
      <c r="H10" s="15">
        <v>50</v>
      </c>
    </row>
    <row r="11" spans="1:8" x14ac:dyDescent="0.4">
      <c r="E11" s="14">
        <f>DATE(2011,3,8)</f>
        <v>40610</v>
      </c>
      <c r="F11" s="19" t="s">
        <v>51</v>
      </c>
      <c r="G11" s="13">
        <v>7</v>
      </c>
      <c r="H11" s="15">
        <v>50</v>
      </c>
    </row>
    <row r="12" spans="1:8" x14ac:dyDescent="0.4">
      <c r="E12" s="14">
        <f>DATE(2011,3,9)</f>
        <v>40611</v>
      </c>
      <c r="F12" s="19" t="s">
        <v>51</v>
      </c>
      <c r="G12" s="13">
        <v>6</v>
      </c>
      <c r="H12" s="15">
        <v>50</v>
      </c>
    </row>
    <row r="13" spans="1:8" x14ac:dyDescent="0.4">
      <c r="E13" s="14">
        <f>DATE(2011,3,10)</f>
        <v>40612</v>
      </c>
      <c r="F13" s="19" t="s">
        <v>51</v>
      </c>
      <c r="G13" s="13">
        <v>6</v>
      </c>
      <c r="H13" s="15">
        <v>50</v>
      </c>
    </row>
    <row r="14" spans="1:8" x14ac:dyDescent="0.4">
      <c r="E14" s="14">
        <f>DATE(2011,3,11)</f>
        <v>40613</v>
      </c>
      <c r="F14" s="19" t="s">
        <v>51</v>
      </c>
      <c r="G14" s="13">
        <v>6</v>
      </c>
      <c r="H14" s="15">
        <v>50</v>
      </c>
    </row>
    <row r="15" spans="1:8" x14ac:dyDescent="0.4">
      <c r="E15" s="14">
        <f>DATE(2011,3,12)</f>
        <v>40614</v>
      </c>
      <c r="F15" s="19" t="s">
        <v>51</v>
      </c>
      <c r="G15" s="13">
        <v>6</v>
      </c>
      <c r="H15" s="15">
        <v>50</v>
      </c>
    </row>
    <row r="16" spans="1:8" x14ac:dyDescent="0.4">
      <c r="E16" s="14">
        <f>DATE(2011,3,13)</f>
        <v>40615</v>
      </c>
      <c r="F16" s="19" t="s">
        <v>51</v>
      </c>
      <c r="G16" s="13">
        <v>6</v>
      </c>
      <c r="H16" s="15">
        <v>50</v>
      </c>
    </row>
    <row r="17" spans="5:8" x14ac:dyDescent="0.4">
      <c r="E17" s="14">
        <f>DATE(2011,3,14)</f>
        <v>40616</v>
      </c>
      <c r="F17" s="19" t="s">
        <v>51</v>
      </c>
      <c r="G17" s="13">
        <v>6</v>
      </c>
      <c r="H17" s="15">
        <v>50</v>
      </c>
    </row>
    <row r="18" spans="5:8" x14ac:dyDescent="0.4">
      <c r="E18" s="14">
        <f>DATE(2011,3,15)</f>
        <v>40617</v>
      </c>
      <c r="F18" s="19" t="s">
        <v>51</v>
      </c>
      <c r="G18" s="13">
        <v>6</v>
      </c>
      <c r="H18" s="15">
        <v>50</v>
      </c>
    </row>
    <row r="19" spans="5:8" x14ac:dyDescent="0.4">
      <c r="E19" s="14">
        <f>DATE(2011,3,16)</f>
        <v>40618</v>
      </c>
      <c r="F19" s="19" t="s">
        <v>51</v>
      </c>
      <c r="G19" s="13">
        <v>6</v>
      </c>
      <c r="H19" s="15">
        <v>50</v>
      </c>
    </row>
    <row r="20" spans="5:8" x14ac:dyDescent="0.4">
      <c r="E20" s="14">
        <f>DATE(2011,3,17)</f>
        <v>40619</v>
      </c>
      <c r="F20" s="19" t="s">
        <v>51</v>
      </c>
      <c r="G20" s="13">
        <v>6</v>
      </c>
      <c r="H20" s="15">
        <v>50</v>
      </c>
    </row>
    <row r="21" spans="5:8" x14ac:dyDescent="0.4">
      <c r="E21" s="14">
        <f>DATE(2011,3,18)</f>
        <v>40620</v>
      </c>
      <c r="F21" s="19" t="s">
        <v>51</v>
      </c>
      <c r="G21" s="13">
        <v>6</v>
      </c>
      <c r="H21" s="15">
        <v>50</v>
      </c>
    </row>
    <row r="22" spans="5:8" x14ac:dyDescent="0.4">
      <c r="E22" s="14">
        <f>DATE(2011,3,19)</f>
        <v>40621</v>
      </c>
      <c r="F22" s="19" t="s">
        <v>51</v>
      </c>
      <c r="G22" s="13">
        <v>6</v>
      </c>
      <c r="H22" s="15">
        <v>50</v>
      </c>
    </row>
    <row r="23" spans="5:8" x14ac:dyDescent="0.4">
      <c r="E23" s="14">
        <f>DATE(2011,3,20)</f>
        <v>40622</v>
      </c>
      <c r="F23" s="19" t="s">
        <v>51</v>
      </c>
      <c r="G23" s="13">
        <v>6</v>
      </c>
      <c r="H23" s="15">
        <v>50</v>
      </c>
    </row>
    <row r="24" spans="5:8" x14ac:dyDescent="0.4">
      <c r="E24" s="14">
        <f>DATE(2011,3,21)</f>
        <v>40623</v>
      </c>
      <c r="F24" s="19" t="s">
        <v>51</v>
      </c>
      <c r="G24" s="13">
        <v>13</v>
      </c>
      <c r="H24" s="15">
        <v>50</v>
      </c>
    </row>
    <row r="25" spans="5:8" x14ac:dyDescent="0.4">
      <c r="E25" s="14">
        <f>DATE(2011,3,22)</f>
        <v>40624</v>
      </c>
      <c r="F25" s="19" t="s">
        <v>51</v>
      </c>
      <c r="G25" s="13">
        <v>10</v>
      </c>
      <c r="H25" s="15">
        <v>50</v>
      </c>
    </row>
    <row r="26" spans="5:8" x14ac:dyDescent="0.4">
      <c r="E26" s="14">
        <f>DATE(2011,3,23)</f>
        <v>40625</v>
      </c>
      <c r="F26" s="19" t="s">
        <v>51</v>
      </c>
      <c r="G26" s="13">
        <v>11</v>
      </c>
      <c r="H26" s="15">
        <v>50</v>
      </c>
    </row>
    <row r="27" spans="5:8" x14ac:dyDescent="0.4">
      <c r="E27" s="14">
        <f>DATE(2011,3,24)</f>
        <v>40626</v>
      </c>
      <c r="F27" s="19" t="s">
        <v>51</v>
      </c>
      <c r="G27" s="13">
        <v>11</v>
      </c>
      <c r="H27" s="15">
        <v>50</v>
      </c>
    </row>
    <row r="28" spans="5:8" x14ac:dyDescent="0.4">
      <c r="E28" s="14">
        <f>DATE(2011,3,25)</f>
        <v>40627</v>
      </c>
      <c r="F28" s="19" t="s">
        <v>51</v>
      </c>
      <c r="G28" s="13">
        <v>10</v>
      </c>
      <c r="H28" s="15">
        <v>50</v>
      </c>
    </row>
    <row r="29" spans="5:8" x14ac:dyDescent="0.4">
      <c r="E29" s="14">
        <f>DATE(2011,3,26)</f>
        <v>40628</v>
      </c>
      <c r="F29" s="19" t="s">
        <v>51</v>
      </c>
      <c r="G29" s="13">
        <v>12</v>
      </c>
      <c r="H29" s="15">
        <v>50</v>
      </c>
    </row>
    <row r="30" spans="5:8" x14ac:dyDescent="0.4">
      <c r="E30" s="14">
        <f>DATE(2011,3,27)</f>
        <v>40629</v>
      </c>
      <c r="F30" s="19" t="s">
        <v>51</v>
      </c>
      <c r="G30" s="13">
        <v>9</v>
      </c>
      <c r="H30" s="15">
        <v>50</v>
      </c>
    </row>
    <row r="31" spans="5:8" x14ac:dyDescent="0.4">
      <c r="E31" s="14">
        <f>DATE(2011,3,28)</f>
        <v>40630</v>
      </c>
      <c r="F31" s="19" t="s">
        <v>51</v>
      </c>
      <c r="G31" s="13">
        <v>10</v>
      </c>
      <c r="H31" s="15">
        <v>50</v>
      </c>
    </row>
    <row r="32" spans="5:8" x14ac:dyDescent="0.4">
      <c r="E32" s="14">
        <f>DATE(2011,3,29)</f>
        <v>40631</v>
      </c>
      <c r="F32" s="19" t="s">
        <v>51</v>
      </c>
      <c r="G32" s="13">
        <v>8</v>
      </c>
      <c r="H32" s="15">
        <v>50</v>
      </c>
    </row>
    <row r="33" spans="1:8" x14ac:dyDescent="0.4">
      <c r="E33" s="14">
        <f>DATE(2011,3,30)</f>
        <v>40632</v>
      </c>
      <c r="F33" s="19" t="s">
        <v>51</v>
      </c>
      <c r="G33" s="13">
        <v>10</v>
      </c>
      <c r="H33" s="15">
        <v>50</v>
      </c>
    </row>
    <row r="34" spans="1:8" x14ac:dyDescent="0.4">
      <c r="E34" s="14">
        <f>DATE(2011,3,31)</f>
        <v>40633</v>
      </c>
      <c r="F34" s="19" t="s">
        <v>51</v>
      </c>
      <c r="G34" s="13">
        <v>6</v>
      </c>
      <c r="H34" s="15">
        <v>50</v>
      </c>
    </row>
    <row r="35" spans="1:8" s="18" customFormat="1" x14ac:dyDescent="0.4">
      <c r="A35" s="16">
        <v>2</v>
      </c>
      <c r="B35" s="16" t="s">
        <v>174</v>
      </c>
      <c r="C35" s="16" t="s">
        <v>208</v>
      </c>
      <c r="D35" s="16"/>
      <c r="E35" s="17" t="s">
        <v>266</v>
      </c>
      <c r="F35" s="46" t="s">
        <v>51</v>
      </c>
      <c r="G35" s="16">
        <v>1</v>
      </c>
      <c r="H35" s="18">
        <v>50</v>
      </c>
    </row>
    <row r="36" spans="1:8" s="18" customFormat="1" x14ac:dyDescent="0.4">
      <c r="A36" s="16"/>
      <c r="B36" s="16" t="s">
        <v>115</v>
      </c>
      <c r="C36" s="16" t="s">
        <v>113</v>
      </c>
      <c r="D36" s="16"/>
      <c r="E36" s="17">
        <f>DATE(2011,4,1)</f>
        <v>40634</v>
      </c>
      <c r="F36" s="46" t="s">
        <v>51</v>
      </c>
      <c r="G36" s="16">
        <v>14</v>
      </c>
      <c r="H36" s="18">
        <v>50</v>
      </c>
    </row>
    <row r="37" spans="1:8" s="18" customFormat="1" x14ac:dyDescent="0.4">
      <c r="A37" s="16"/>
      <c r="B37" s="16"/>
      <c r="C37" s="16"/>
      <c r="D37" s="16"/>
      <c r="E37" s="17">
        <f>DATE(2011,4,2)</f>
        <v>40635</v>
      </c>
      <c r="F37" s="46" t="s">
        <v>51</v>
      </c>
      <c r="G37" s="16">
        <v>8</v>
      </c>
      <c r="H37" s="18">
        <v>50</v>
      </c>
    </row>
    <row r="38" spans="1:8" s="18" customFormat="1" x14ac:dyDescent="0.4">
      <c r="A38" s="16"/>
      <c r="B38" s="16"/>
      <c r="C38" s="16"/>
      <c r="D38" s="16"/>
      <c r="E38" s="17">
        <f>DATE(2011,4,3)</f>
        <v>40636</v>
      </c>
      <c r="F38" s="46" t="s">
        <v>51</v>
      </c>
      <c r="G38" s="16">
        <v>9</v>
      </c>
      <c r="H38" s="18">
        <v>50</v>
      </c>
    </row>
    <row r="39" spans="1:8" s="18" customFormat="1" x14ac:dyDescent="0.4">
      <c r="A39" s="16"/>
      <c r="B39" s="16"/>
      <c r="C39" s="16"/>
      <c r="D39" s="16"/>
      <c r="E39" s="17">
        <f>DATE(2011,4,4)</f>
        <v>40637</v>
      </c>
      <c r="F39" s="46" t="s">
        <v>51</v>
      </c>
      <c r="G39" s="16">
        <v>14</v>
      </c>
      <c r="H39" s="18">
        <v>50</v>
      </c>
    </row>
    <row r="40" spans="1:8" s="18" customFormat="1" x14ac:dyDescent="0.4">
      <c r="A40" s="16"/>
      <c r="B40" s="16"/>
      <c r="C40" s="16"/>
      <c r="D40" s="16"/>
      <c r="E40" s="17">
        <f>DATE(2011,4,5)</f>
        <v>40638</v>
      </c>
      <c r="F40" s="46" t="s">
        <v>51</v>
      </c>
      <c r="G40" s="16">
        <v>13</v>
      </c>
      <c r="H40" s="18">
        <v>50</v>
      </c>
    </row>
    <row r="41" spans="1:8" s="18" customFormat="1" x14ac:dyDescent="0.4">
      <c r="A41" s="16"/>
      <c r="B41" s="16"/>
      <c r="C41" s="16"/>
      <c r="D41" s="16"/>
      <c r="E41" s="17">
        <f>DATE(2011,4,6)</f>
        <v>40639</v>
      </c>
      <c r="F41" s="46" t="s">
        <v>51</v>
      </c>
      <c r="G41" s="16">
        <v>14</v>
      </c>
      <c r="H41" s="18">
        <v>50</v>
      </c>
    </row>
    <row r="42" spans="1:8" s="18" customFormat="1" x14ac:dyDescent="0.4">
      <c r="A42" s="16"/>
      <c r="B42" s="16"/>
      <c r="C42" s="16"/>
      <c r="D42" s="16"/>
      <c r="E42" s="17">
        <f>DATE(2011,4,7)</f>
        <v>40640</v>
      </c>
      <c r="F42" s="46" t="s">
        <v>51</v>
      </c>
      <c r="G42" s="16">
        <v>11</v>
      </c>
      <c r="H42" s="18">
        <v>50</v>
      </c>
    </row>
    <row r="43" spans="1:8" s="18" customFormat="1" x14ac:dyDescent="0.4">
      <c r="A43" s="16"/>
      <c r="B43" s="16"/>
      <c r="C43" s="16"/>
      <c r="D43" s="16"/>
      <c r="E43" s="17">
        <f>DATE(2011,4,8)</f>
        <v>40641</v>
      </c>
      <c r="F43" s="46" t="s">
        <v>51</v>
      </c>
      <c r="G43" s="16">
        <v>14</v>
      </c>
      <c r="H43" s="18">
        <v>50</v>
      </c>
    </row>
    <row r="44" spans="1:8" s="18" customFormat="1" x14ac:dyDescent="0.4">
      <c r="A44" s="16"/>
      <c r="B44" s="16"/>
      <c r="C44" s="16"/>
      <c r="D44" s="16"/>
      <c r="E44" s="17">
        <f>DATE(2011,4,9)</f>
        <v>40642</v>
      </c>
      <c r="F44" s="46" t="s">
        <v>51</v>
      </c>
      <c r="G44" s="16">
        <v>14</v>
      </c>
      <c r="H44" s="18">
        <v>50</v>
      </c>
    </row>
    <row r="45" spans="1:8" s="18" customFormat="1" x14ac:dyDescent="0.4">
      <c r="A45" s="16"/>
      <c r="B45" s="16"/>
      <c r="C45" s="16"/>
      <c r="D45" s="16"/>
      <c r="E45" s="17">
        <f>DATE(2011,4,10)</f>
        <v>40643</v>
      </c>
      <c r="F45" s="46" t="s">
        <v>51</v>
      </c>
      <c r="G45" s="16">
        <v>12</v>
      </c>
      <c r="H45" s="18">
        <v>50</v>
      </c>
    </row>
    <row r="46" spans="1:8" s="18" customFormat="1" x14ac:dyDescent="0.4">
      <c r="A46" s="16"/>
      <c r="B46" s="16"/>
      <c r="C46" s="16"/>
      <c r="D46" s="16"/>
      <c r="E46" s="17">
        <f>DATE(2011,4,11)</f>
        <v>40644</v>
      </c>
      <c r="F46" s="46" t="s">
        <v>51</v>
      </c>
      <c r="G46" s="16">
        <v>17</v>
      </c>
      <c r="H46" s="18">
        <v>50</v>
      </c>
    </row>
    <row r="47" spans="1:8" s="18" customFormat="1" x14ac:dyDescent="0.4">
      <c r="A47" s="16"/>
      <c r="B47" s="16"/>
      <c r="C47" s="16"/>
      <c r="D47" s="16"/>
      <c r="E47" s="17">
        <f>DATE(2011,4,12)</f>
        <v>40645</v>
      </c>
      <c r="F47" s="46" t="s">
        <v>51</v>
      </c>
      <c r="G47" s="16">
        <v>15</v>
      </c>
      <c r="H47" s="18">
        <v>50</v>
      </c>
    </row>
    <row r="48" spans="1:8" s="18" customFormat="1" x14ac:dyDescent="0.4">
      <c r="A48" s="16"/>
      <c r="B48" s="16"/>
      <c r="C48" s="16"/>
      <c r="D48" s="16"/>
      <c r="E48" s="17">
        <f>DATE(2011,4,13)</f>
        <v>40646</v>
      </c>
      <c r="F48" s="46" t="s">
        <v>51</v>
      </c>
      <c r="G48" s="16">
        <v>4</v>
      </c>
      <c r="H48" s="18">
        <v>50</v>
      </c>
    </row>
    <row r="49" spans="1:8" s="18" customFormat="1" x14ac:dyDescent="0.4">
      <c r="A49" s="16"/>
      <c r="B49" s="16"/>
      <c r="C49" s="16"/>
      <c r="D49" s="16"/>
      <c r="E49" s="17">
        <f>DATE(2011,4,14)</f>
        <v>40647</v>
      </c>
      <c r="F49" s="46" t="s">
        <v>51</v>
      </c>
      <c r="G49" s="16">
        <v>16</v>
      </c>
      <c r="H49" s="18">
        <v>50</v>
      </c>
    </row>
    <row r="50" spans="1:8" s="18" customFormat="1" x14ac:dyDescent="0.4">
      <c r="A50" s="16"/>
      <c r="B50" s="16"/>
      <c r="C50" s="16"/>
      <c r="D50" s="16"/>
      <c r="E50" s="17">
        <f>DATE(2011,4,15)</f>
        <v>40648</v>
      </c>
      <c r="F50" s="46" t="s">
        <v>51</v>
      </c>
      <c r="G50" s="16">
        <v>10</v>
      </c>
      <c r="H50" s="18">
        <v>50</v>
      </c>
    </row>
    <row r="51" spans="1:8" s="18" customFormat="1" x14ac:dyDescent="0.4">
      <c r="A51" s="16"/>
      <c r="B51" s="16"/>
      <c r="C51" s="16"/>
      <c r="D51" s="16"/>
      <c r="E51" s="17">
        <f>DATE(2011,4,16)</f>
        <v>40649</v>
      </c>
      <c r="F51" s="46" t="s">
        <v>51</v>
      </c>
      <c r="G51" s="16">
        <v>10</v>
      </c>
      <c r="H51" s="18">
        <v>50</v>
      </c>
    </row>
    <row r="52" spans="1:8" s="18" customFormat="1" x14ac:dyDescent="0.4">
      <c r="A52" s="16"/>
      <c r="B52" s="16"/>
      <c r="C52" s="16"/>
      <c r="D52" s="16"/>
      <c r="E52" s="17">
        <f>DATE(2011,4,17)</f>
        <v>40650</v>
      </c>
      <c r="F52" s="46" t="s">
        <v>51</v>
      </c>
      <c r="G52" s="16">
        <v>12</v>
      </c>
      <c r="H52" s="18">
        <v>50</v>
      </c>
    </row>
    <row r="53" spans="1:8" s="18" customFormat="1" x14ac:dyDescent="0.4">
      <c r="A53" s="16"/>
      <c r="B53" s="16"/>
      <c r="C53" s="16"/>
      <c r="D53" s="16"/>
      <c r="E53" s="17">
        <f>DATE(2011,4,18)</f>
        <v>40651</v>
      </c>
      <c r="F53" s="46" t="s">
        <v>51</v>
      </c>
      <c r="G53" s="16">
        <v>14</v>
      </c>
      <c r="H53" s="18">
        <v>50</v>
      </c>
    </row>
    <row r="54" spans="1:8" s="18" customFormat="1" x14ac:dyDescent="0.4">
      <c r="A54" s="16"/>
      <c r="B54" s="16"/>
      <c r="C54" s="16"/>
      <c r="D54" s="16"/>
      <c r="E54" s="17">
        <f>DATE(2011,4,19)</f>
        <v>40652</v>
      </c>
      <c r="F54" s="46" t="s">
        <v>51</v>
      </c>
      <c r="G54" s="16">
        <v>11</v>
      </c>
      <c r="H54" s="18">
        <v>50</v>
      </c>
    </row>
    <row r="55" spans="1:8" s="18" customFormat="1" x14ac:dyDescent="0.4">
      <c r="A55" s="16"/>
      <c r="B55" s="16"/>
      <c r="C55" s="16"/>
      <c r="D55" s="16"/>
      <c r="E55" s="17">
        <f>DATE(2011,4,20)</f>
        <v>40653</v>
      </c>
      <c r="F55" s="46" t="s">
        <v>51</v>
      </c>
      <c r="G55" s="16">
        <v>15</v>
      </c>
      <c r="H55" s="18">
        <v>50</v>
      </c>
    </row>
    <row r="56" spans="1:8" s="18" customFormat="1" x14ac:dyDescent="0.4">
      <c r="A56" s="16"/>
      <c r="B56" s="16"/>
      <c r="C56" s="16"/>
      <c r="D56" s="16"/>
      <c r="E56" s="17">
        <f>DATE(2011,4,21)</f>
        <v>40654</v>
      </c>
      <c r="F56" s="46" t="s">
        <v>51</v>
      </c>
      <c r="G56" s="16">
        <v>7</v>
      </c>
      <c r="H56" s="18">
        <v>50</v>
      </c>
    </row>
    <row r="57" spans="1:8" s="18" customFormat="1" x14ac:dyDescent="0.4">
      <c r="A57" s="16"/>
      <c r="B57" s="16"/>
      <c r="C57" s="16"/>
      <c r="D57" s="16"/>
      <c r="E57" s="17">
        <f>DATE(2011,4,22)</f>
        <v>40655</v>
      </c>
      <c r="F57" s="46" t="s">
        <v>51</v>
      </c>
      <c r="G57" s="16">
        <v>5</v>
      </c>
      <c r="H57" s="18">
        <v>50</v>
      </c>
    </row>
    <row r="58" spans="1:8" s="18" customFormat="1" x14ac:dyDescent="0.4">
      <c r="A58" s="16"/>
      <c r="B58" s="16"/>
      <c r="C58" s="16"/>
      <c r="D58" s="16"/>
      <c r="E58" s="17">
        <f>DATE(2011,4,23)</f>
        <v>40656</v>
      </c>
      <c r="F58" s="46" t="s">
        <v>51</v>
      </c>
      <c r="G58" s="16">
        <v>6</v>
      </c>
      <c r="H58" s="18">
        <v>50</v>
      </c>
    </row>
    <row r="59" spans="1:8" s="18" customFormat="1" x14ac:dyDescent="0.4">
      <c r="A59" s="16"/>
      <c r="B59" s="16"/>
      <c r="C59" s="16"/>
      <c r="D59" s="16"/>
      <c r="E59" s="17">
        <f>DATE(2011,4,24)</f>
        <v>40657</v>
      </c>
      <c r="F59" s="46" t="s">
        <v>51</v>
      </c>
      <c r="G59" s="16">
        <v>6</v>
      </c>
      <c r="H59" s="18">
        <v>50</v>
      </c>
    </row>
    <row r="60" spans="1:8" s="18" customFormat="1" x14ac:dyDescent="0.4">
      <c r="A60" s="16"/>
      <c r="B60" s="16"/>
      <c r="C60" s="16"/>
      <c r="D60" s="16"/>
      <c r="E60" s="17">
        <f>DATE(2011,4,25)</f>
        <v>40658</v>
      </c>
      <c r="F60" s="46" t="s">
        <v>51</v>
      </c>
      <c r="G60" s="16">
        <v>6</v>
      </c>
      <c r="H60" s="18">
        <v>50</v>
      </c>
    </row>
    <row r="61" spans="1:8" s="18" customFormat="1" x14ac:dyDescent="0.4">
      <c r="A61" s="16"/>
      <c r="B61" s="16"/>
      <c r="C61" s="16"/>
      <c r="D61" s="16"/>
      <c r="E61" s="17">
        <f>DATE(2011,4,26)</f>
        <v>40659</v>
      </c>
      <c r="F61" s="46" t="s">
        <v>51</v>
      </c>
      <c r="G61" s="16">
        <v>6</v>
      </c>
      <c r="H61" s="18">
        <v>50</v>
      </c>
    </row>
    <row r="62" spans="1:8" s="18" customFormat="1" x14ac:dyDescent="0.4">
      <c r="A62" s="16"/>
      <c r="B62" s="16"/>
      <c r="C62" s="16"/>
      <c r="D62" s="16"/>
      <c r="E62" s="17">
        <f>DATE(2011,4,27)</f>
        <v>40660</v>
      </c>
      <c r="F62" s="46" t="s">
        <v>51</v>
      </c>
      <c r="G62" s="16">
        <v>6</v>
      </c>
      <c r="H62" s="18">
        <v>50</v>
      </c>
    </row>
    <row r="63" spans="1:8" s="18" customFormat="1" x14ac:dyDescent="0.4">
      <c r="A63" s="16"/>
      <c r="B63" s="16"/>
      <c r="C63" s="16"/>
      <c r="D63" s="16"/>
      <c r="E63" s="17">
        <f>DATE(2011,4,28)</f>
        <v>40661</v>
      </c>
      <c r="F63" s="46" t="s">
        <v>51</v>
      </c>
      <c r="G63" s="16">
        <v>6</v>
      </c>
      <c r="H63" s="18">
        <v>50</v>
      </c>
    </row>
    <row r="64" spans="1:8" s="18" customFormat="1" x14ac:dyDescent="0.4">
      <c r="A64" s="16"/>
      <c r="B64" s="16"/>
      <c r="C64" s="16"/>
      <c r="D64" s="16"/>
      <c r="E64" s="17">
        <f>DATE(2011,4,29)</f>
        <v>40662</v>
      </c>
      <c r="F64" s="46" t="s">
        <v>51</v>
      </c>
      <c r="G64" s="16">
        <v>6</v>
      </c>
      <c r="H64" s="18">
        <v>50</v>
      </c>
    </row>
    <row r="65" spans="1:8" s="18" customFormat="1" x14ac:dyDescent="0.4">
      <c r="A65" s="16"/>
      <c r="B65" s="16"/>
      <c r="C65" s="16"/>
      <c r="D65" s="16"/>
      <c r="E65" s="17">
        <f>DATE(2011,4,30)</f>
        <v>40663</v>
      </c>
      <c r="F65" s="46" t="s">
        <v>51</v>
      </c>
      <c r="G65" s="16">
        <v>6</v>
      </c>
      <c r="H65" s="18">
        <v>50</v>
      </c>
    </row>
    <row r="66" spans="1:8" x14ac:dyDescent="0.4">
      <c r="G66" s="13">
        <f>SUM(G3:G65)</f>
        <v>541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C788A-197F-4C64-8C79-200D3F103485}">
  <dimension ref="A1:H38"/>
  <sheetViews>
    <sheetView topLeftCell="A23" workbookViewId="0">
      <selection activeCell="G38" sqref="G38"/>
    </sheetView>
  </sheetViews>
  <sheetFormatPr defaultColWidth="11.5546875" defaultRowHeight="12" x14ac:dyDescent="0.4"/>
  <cols>
    <col min="1" max="1" width="3.109375" style="13" customWidth="1"/>
    <col min="2" max="2" width="40.77734375" style="13" customWidth="1"/>
    <col min="3" max="3" width="21" style="13" customWidth="1"/>
    <col min="4" max="4" width="21.109375" style="13" customWidth="1"/>
    <col min="5" max="5" width="14.109375" style="30" customWidth="1"/>
    <col min="6" max="6" width="8.77734375" style="19" customWidth="1"/>
    <col min="7" max="7" width="4" style="13" customWidth="1"/>
    <col min="8" max="8" width="6.44140625" style="15" customWidth="1"/>
    <col min="9" max="16384" width="11.5546875" style="15"/>
  </cols>
  <sheetData>
    <row r="1" spans="1:8" s="21" customFormat="1" x14ac:dyDescent="0.4">
      <c r="A1" s="95" t="s">
        <v>267</v>
      </c>
      <c r="B1" s="95"/>
      <c r="C1" s="95"/>
      <c r="E1" s="34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C3" s="13" t="s">
        <v>64</v>
      </c>
      <c r="D3" s="13" t="s">
        <v>268</v>
      </c>
      <c r="E3" s="30">
        <f>DATE(1993,3,1)</f>
        <v>34029</v>
      </c>
      <c r="F3" s="19" t="s">
        <v>51</v>
      </c>
      <c r="G3" s="13">
        <v>4</v>
      </c>
      <c r="H3" s="15">
        <v>50</v>
      </c>
    </row>
    <row r="4" spans="1:8" s="18" customFormat="1" x14ac:dyDescent="0.4">
      <c r="A4" s="16">
        <v>2</v>
      </c>
      <c r="B4" s="16" t="s">
        <v>55</v>
      </c>
      <c r="C4" s="16" t="s">
        <v>61</v>
      </c>
      <c r="D4" s="16" t="s">
        <v>269</v>
      </c>
      <c r="E4" s="31">
        <f>DATE(1994,1,3)</f>
        <v>34337</v>
      </c>
      <c r="F4" s="46" t="s">
        <v>51</v>
      </c>
      <c r="G4" s="16">
        <v>8</v>
      </c>
      <c r="H4" s="18">
        <v>50</v>
      </c>
    </row>
    <row r="5" spans="1:8" x14ac:dyDescent="0.4">
      <c r="A5" s="13">
        <v>3</v>
      </c>
      <c r="B5" s="13" t="s">
        <v>56</v>
      </c>
      <c r="C5" s="13" t="s">
        <v>270</v>
      </c>
      <c r="D5" s="13" t="s">
        <v>269</v>
      </c>
      <c r="E5" s="30">
        <f>DATE(1995,2,24)</f>
        <v>34754</v>
      </c>
      <c r="F5" s="19" t="s">
        <v>51</v>
      </c>
      <c r="G5" s="13">
        <v>8</v>
      </c>
      <c r="H5" s="15">
        <v>50</v>
      </c>
    </row>
    <row r="6" spans="1:8" s="18" customFormat="1" x14ac:dyDescent="0.4">
      <c r="A6" s="16">
        <v>4</v>
      </c>
      <c r="B6" s="16" t="s">
        <v>67</v>
      </c>
      <c r="C6" s="16" t="s">
        <v>61</v>
      </c>
      <c r="D6" s="16" t="s">
        <v>269</v>
      </c>
      <c r="E6" s="31">
        <f>DATE(1996,3,1)</f>
        <v>35125</v>
      </c>
      <c r="F6" s="46" t="s">
        <v>51</v>
      </c>
      <c r="G6" s="16">
        <v>8</v>
      </c>
      <c r="H6" s="18">
        <v>50</v>
      </c>
    </row>
    <row r="7" spans="1:8" x14ac:dyDescent="0.4">
      <c r="A7" s="13">
        <v>5</v>
      </c>
      <c r="B7" s="13" t="s">
        <v>68</v>
      </c>
      <c r="C7" s="13" t="s">
        <v>64</v>
      </c>
      <c r="D7" s="13" t="s">
        <v>269</v>
      </c>
      <c r="E7" s="30">
        <f>DATE(1997,3,21)</f>
        <v>35510</v>
      </c>
      <c r="F7" s="19" t="s">
        <v>51</v>
      </c>
      <c r="G7" s="13">
        <v>10</v>
      </c>
      <c r="H7" s="15">
        <v>50</v>
      </c>
    </row>
    <row r="8" spans="1:8" s="18" customFormat="1" x14ac:dyDescent="0.4">
      <c r="A8" s="16">
        <v>6</v>
      </c>
      <c r="B8" s="16" t="s">
        <v>271</v>
      </c>
      <c r="C8" s="16" t="s">
        <v>189</v>
      </c>
      <c r="D8" s="16" t="s">
        <v>269</v>
      </c>
      <c r="E8" s="31">
        <f>DATE(1995,12,22)</f>
        <v>35055</v>
      </c>
      <c r="F8" s="46" t="s">
        <v>51</v>
      </c>
      <c r="G8" s="16">
        <v>8</v>
      </c>
      <c r="H8" s="18">
        <v>50</v>
      </c>
    </row>
    <row r="9" spans="1:8" x14ac:dyDescent="0.4">
      <c r="A9" s="13">
        <v>7</v>
      </c>
      <c r="B9" s="13" t="s">
        <v>69</v>
      </c>
      <c r="C9" s="13" t="s">
        <v>272</v>
      </c>
      <c r="E9" s="14" t="s">
        <v>50</v>
      </c>
      <c r="F9" s="19" t="s">
        <v>51</v>
      </c>
      <c r="G9" s="13">
        <v>21</v>
      </c>
      <c r="H9" s="15">
        <v>50</v>
      </c>
    </row>
    <row r="10" spans="1:8" s="18" customFormat="1" x14ac:dyDescent="0.4">
      <c r="A10" s="16">
        <v>8</v>
      </c>
      <c r="B10" s="16" t="s">
        <v>112</v>
      </c>
      <c r="C10" s="16" t="s">
        <v>273</v>
      </c>
      <c r="D10" s="16"/>
      <c r="E10" s="31">
        <f>DATE(1993,7,11)</f>
        <v>34161</v>
      </c>
      <c r="F10" s="46" t="s">
        <v>51</v>
      </c>
      <c r="G10" s="16">
        <v>8</v>
      </c>
      <c r="H10" s="18">
        <v>50</v>
      </c>
    </row>
    <row r="11" spans="1:8" s="18" customFormat="1" x14ac:dyDescent="0.4">
      <c r="A11" s="16"/>
      <c r="B11" s="16"/>
      <c r="C11" s="16"/>
      <c r="D11" s="16"/>
      <c r="E11" s="31">
        <f>DATE(1993,7,12)</f>
        <v>34162</v>
      </c>
      <c r="F11" s="46" t="s">
        <v>51</v>
      </c>
      <c r="G11" s="16">
        <v>7</v>
      </c>
      <c r="H11" s="18">
        <v>50</v>
      </c>
    </row>
    <row r="12" spans="1:8" s="18" customFormat="1" x14ac:dyDescent="0.4">
      <c r="A12" s="16"/>
      <c r="B12" s="16"/>
      <c r="C12" s="16"/>
      <c r="D12" s="16"/>
      <c r="E12" s="31">
        <f>DATE(1993,7,13)</f>
        <v>34163</v>
      </c>
      <c r="F12" s="46" t="s">
        <v>51</v>
      </c>
      <c r="G12" s="16">
        <v>1</v>
      </c>
      <c r="H12" s="18">
        <v>50</v>
      </c>
    </row>
    <row r="13" spans="1:8" s="18" customFormat="1" x14ac:dyDescent="0.4">
      <c r="A13" s="16"/>
      <c r="B13" s="16"/>
      <c r="C13" s="16"/>
      <c r="D13" s="16"/>
      <c r="E13" s="31">
        <f>DATE(1993,7,14)</f>
        <v>34164</v>
      </c>
      <c r="F13" s="46" t="s">
        <v>51</v>
      </c>
      <c r="G13" s="16">
        <v>2</v>
      </c>
      <c r="H13" s="18">
        <v>50</v>
      </c>
    </row>
    <row r="14" spans="1:8" s="18" customFormat="1" x14ac:dyDescent="0.4">
      <c r="A14" s="16"/>
      <c r="B14" s="16"/>
      <c r="C14" s="16"/>
      <c r="D14" s="16"/>
      <c r="E14" s="31">
        <f>DATE(1993,7,15)</f>
        <v>34165</v>
      </c>
      <c r="F14" s="46" t="s">
        <v>51</v>
      </c>
      <c r="G14" s="16">
        <v>9</v>
      </c>
      <c r="H14" s="18">
        <v>50</v>
      </c>
    </row>
    <row r="15" spans="1:8" s="18" customFormat="1" x14ac:dyDescent="0.4">
      <c r="A15" s="16"/>
      <c r="B15" s="16"/>
      <c r="C15" s="16"/>
      <c r="D15" s="16"/>
      <c r="E15" s="31">
        <f>DATE(1993,7,16)</f>
        <v>34166</v>
      </c>
      <c r="F15" s="46" t="s">
        <v>51</v>
      </c>
      <c r="G15" s="16">
        <v>8</v>
      </c>
      <c r="H15" s="18">
        <v>50</v>
      </c>
    </row>
    <row r="16" spans="1:8" s="18" customFormat="1" x14ac:dyDescent="0.4">
      <c r="A16" s="16"/>
      <c r="B16" s="16"/>
      <c r="C16" s="35"/>
      <c r="D16" s="35"/>
      <c r="E16" s="31">
        <f>DATE(1993,7,17)</f>
        <v>34167</v>
      </c>
      <c r="F16" s="46" t="s">
        <v>51</v>
      </c>
      <c r="G16" s="16">
        <v>7</v>
      </c>
      <c r="H16" s="18">
        <v>50</v>
      </c>
    </row>
    <row r="17" spans="1:8" s="18" customFormat="1" x14ac:dyDescent="0.4">
      <c r="A17" s="16"/>
      <c r="B17" s="16"/>
      <c r="C17" s="16"/>
      <c r="D17" s="16"/>
      <c r="E17" s="31">
        <f>DATE(1993,7,19)</f>
        <v>34169</v>
      </c>
      <c r="F17" s="46" t="s">
        <v>51</v>
      </c>
      <c r="G17" s="16">
        <v>10</v>
      </c>
      <c r="H17" s="18">
        <v>50</v>
      </c>
    </row>
    <row r="18" spans="1:8" s="18" customFormat="1" x14ac:dyDescent="0.4">
      <c r="A18" s="16"/>
      <c r="B18" s="16"/>
      <c r="C18" s="16"/>
      <c r="D18" s="16"/>
      <c r="E18" s="31">
        <f>DATE(1993,7,20)</f>
        <v>34170</v>
      </c>
      <c r="F18" s="46" t="s">
        <v>51</v>
      </c>
      <c r="G18" s="16">
        <v>1</v>
      </c>
      <c r="H18" s="18">
        <v>50</v>
      </c>
    </row>
    <row r="19" spans="1:8" s="18" customFormat="1" x14ac:dyDescent="0.4">
      <c r="A19" s="16"/>
      <c r="B19" s="16"/>
      <c r="C19" s="16"/>
      <c r="D19" s="16"/>
      <c r="E19" s="31">
        <f>DATE(1993,7,22)</f>
        <v>34172</v>
      </c>
      <c r="F19" s="46" t="s">
        <v>51</v>
      </c>
      <c r="G19" s="16">
        <v>10</v>
      </c>
      <c r="H19" s="18">
        <v>50</v>
      </c>
    </row>
    <row r="20" spans="1:8" s="18" customFormat="1" x14ac:dyDescent="0.4">
      <c r="A20" s="16"/>
      <c r="B20" s="16"/>
      <c r="C20" s="16"/>
      <c r="D20" s="16"/>
      <c r="E20" s="31">
        <f>DATE(1993,7,23)</f>
        <v>34173</v>
      </c>
      <c r="F20" s="46" t="s">
        <v>51</v>
      </c>
      <c r="G20" s="16">
        <v>1</v>
      </c>
      <c r="H20" s="18">
        <v>50</v>
      </c>
    </row>
    <row r="21" spans="1:8" x14ac:dyDescent="0.4">
      <c r="A21" s="15">
        <v>9</v>
      </c>
      <c r="B21" s="15" t="s">
        <v>112</v>
      </c>
      <c r="C21" s="15" t="s">
        <v>274</v>
      </c>
      <c r="D21" s="15"/>
      <c r="E21" s="24">
        <f>DATE(1994,4,18)</f>
        <v>34442</v>
      </c>
      <c r="F21" s="29" t="s">
        <v>51</v>
      </c>
      <c r="G21" s="15">
        <v>11</v>
      </c>
      <c r="H21" s="15">
        <v>50</v>
      </c>
    </row>
    <row r="22" spans="1:8" x14ac:dyDescent="0.4">
      <c r="A22" s="15"/>
      <c r="B22" s="15"/>
      <c r="C22" s="15"/>
      <c r="D22" s="15"/>
      <c r="E22" s="24">
        <f>DATE(1994,4,19)</f>
        <v>34443</v>
      </c>
      <c r="F22" s="29" t="s">
        <v>51</v>
      </c>
      <c r="G22" s="15">
        <v>10</v>
      </c>
      <c r="H22" s="15">
        <v>50</v>
      </c>
    </row>
    <row r="23" spans="1:8" x14ac:dyDescent="0.4">
      <c r="A23" s="15"/>
      <c r="B23" s="15"/>
      <c r="C23" s="15"/>
      <c r="D23" s="15"/>
      <c r="E23" s="24">
        <f>DATE(1994,4,20)</f>
        <v>34444</v>
      </c>
      <c r="F23" s="29" t="s">
        <v>51</v>
      </c>
      <c r="G23" s="15">
        <v>8</v>
      </c>
      <c r="H23" s="15">
        <v>50</v>
      </c>
    </row>
    <row r="24" spans="1:8" x14ac:dyDescent="0.4">
      <c r="A24" s="15"/>
      <c r="B24" s="15"/>
      <c r="C24" s="15"/>
      <c r="D24" s="15"/>
      <c r="E24" s="24">
        <f>DATE(1994,4,21)</f>
        <v>34445</v>
      </c>
      <c r="F24" s="29" t="s">
        <v>51</v>
      </c>
      <c r="G24" s="15">
        <v>6</v>
      </c>
      <c r="H24" s="15">
        <v>50</v>
      </c>
    </row>
    <row r="25" spans="1:8" s="18" customFormat="1" x14ac:dyDescent="0.4">
      <c r="A25" s="16">
        <v>10</v>
      </c>
      <c r="B25" s="16" t="s">
        <v>112</v>
      </c>
      <c r="C25" s="16" t="s">
        <v>274</v>
      </c>
      <c r="D25" s="16"/>
      <c r="E25" s="31">
        <f>DATE(1994,7,26)</f>
        <v>34541</v>
      </c>
      <c r="F25" s="46" t="s">
        <v>275</v>
      </c>
      <c r="G25" s="16">
        <v>1</v>
      </c>
      <c r="H25" s="18">
        <v>50</v>
      </c>
    </row>
    <row r="26" spans="1:8" s="18" customFormat="1" x14ac:dyDescent="0.4">
      <c r="A26" s="16"/>
      <c r="B26" s="16"/>
      <c r="C26" s="16"/>
      <c r="D26" s="16"/>
      <c r="E26" s="31">
        <f>DATE(1994,7,27)</f>
        <v>34542</v>
      </c>
      <c r="F26" s="46" t="s">
        <v>275</v>
      </c>
      <c r="G26" s="16">
        <v>10</v>
      </c>
      <c r="H26" s="18">
        <v>50</v>
      </c>
    </row>
    <row r="27" spans="1:8" s="18" customFormat="1" x14ac:dyDescent="0.4">
      <c r="A27" s="16"/>
      <c r="B27" s="16"/>
      <c r="C27" s="16"/>
      <c r="D27" s="16"/>
      <c r="E27" s="31">
        <f>DATE(1994,7,28)</f>
        <v>34543</v>
      </c>
      <c r="F27" s="46" t="s">
        <v>275</v>
      </c>
      <c r="G27" s="16">
        <v>10</v>
      </c>
      <c r="H27" s="18">
        <v>50</v>
      </c>
    </row>
    <row r="28" spans="1:8" s="18" customFormat="1" x14ac:dyDescent="0.4">
      <c r="A28" s="16"/>
      <c r="B28" s="16"/>
      <c r="C28" s="16"/>
      <c r="D28" s="16"/>
      <c r="E28" s="31">
        <f>DATE(1994,7,29)</f>
        <v>34544</v>
      </c>
      <c r="F28" s="46" t="s">
        <v>275</v>
      </c>
      <c r="G28" s="16">
        <v>6</v>
      </c>
      <c r="H28" s="18">
        <v>50</v>
      </c>
    </row>
    <row r="29" spans="1:8" s="18" customFormat="1" x14ac:dyDescent="0.4">
      <c r="A29" s="16"/>
      <c r="B29" s="16"/>
      <c r="C29" s="16"/>
      <c r="D29" s="16"/>
      <c r="E29" s="31">
        <f>DATE(1994,7,30)</f>
        <v>34545</v>
      </c>
      <c r="F29" s="46" t="s">
        <v>275</v>
      </c>
      <c r="G29" s="16">
        <v>10</v>
      </c>
      <c r="H29" s="18">
        <v>50</v>
      </c>
    </row>
    <row r="30" spans="1:8" s="18" customFormat="1" x14ac:dyDescent="0.4">
      <c r="A30" s="16"/>
      <c r="B30" s="16"/>
      <c r="C30" s="16"/>
      <c r="D30" s="16"/>
      <c r="E30" s="31">
        <f>DATE(1994,7,31)</f>
        <v>34546</v>
      </c>
      <c r="F30" s="46" t="s">
        <v>275</v>
      </c>
      <c r="G30" s="16">
        <v>2</v>
      </c>
      <c r="H30" s="18">
        <v>50</v>
      </c>
    </row>
    <row r="31" spans="1:8" x14ac:dyDescent="0.4">
      <c r="A31" s="13">
        <v>11</v>
      </c>
      <c r="B31" s="13" t="s">
        <v>112</v>
      </c>
      <c r="C31" s="13" t="s">
        <v>274</v>
      </c>
      <c r="E31" s="30">
        <f>DATE(1996,3,11)</f>
        <v>35135</v>
      </c>
      <c r="F31" s="19" t="s">
        <v>51</v>
      </c>
      <c r="G31" s="13">
        <v>4</v>
      </c>
      <c r="H31" s="15">
        <v>50</v>
      </c>
    </row>
    <row r="32" spans="1:8" x14ac:dyDescent="0.4">
      <c r="E32" s="30">
        <f>DATE(1996,3,12)</f>
        <v>35136</v>
      </c>
      <c r="F32" s="19" t="s">
        <v>51</v>
      </c>
      <c r="G32" s="13">
        <v>8</v>
      </c>
      <c r="H32" s="15">
        <v>50</v>
      </c>
    </row>
    <row r="33" spans="1:8" x14ac:dyDescent="0.4">
      <c r="E33" s="30">
        <f>DATE(1996,3,13)</f>
        <v>35137</v>
      </c>
      <c r="F33" s="19" t="s">
        <v>51</v>
      </c>
      <c r="G33" s="13">
        <v>3</v>
      </c>
      <c r="H33" s="15">
        <v>50</v>
      </c>
    </row>
    <row r="34" spans="1:8" s="18" customFormat="1" x14ac:dyDescent="0.4">
      <c r="A34" s="16">
        <v>12</v>
      </c>
      <c r="B34" s="16" t="s">
        <v>112</v>
      </c>
      <c r="C34" s="16" t="s">
        <v>274</v>
      </c>
      <c r="D34" s="16"/>
      <c r="E34" s="31">
        <f>DATE(1996,9,28)</f>
        <v>35336</v>
      </c>
      <c r="F34" s="46" t="s">
        <v>51</v>
      </c>
      <c r="G34" s="16">
        <v>6</v>
      </c>
      <c r="H34" s="18">
        <v>50</v>
      </c>
    </row>
    <row r="35" spans="1:8" s="18" customFormat="1" x14ac:dyDescent="0.4">
      <c r="A35" s="16"/>
      <c r="B35" s="16"/>
      <c r="C35" s="16"/>
      <c r="D35" s="16"/>
      <c r="E35" s="31">
        <f>DATE(1996,9,29)</f>
        <v>35337</v>
      </c>
      <c r="F35" s="46" t="s">
        <v>51</v>
      </c>
      <c r="G35" s="16">
        <v>6</v>
      </c>
      <c r="H35" s="18">
        <v>50</v>
      </c>
    </row>
    <row r="36" spans="1:8" s="18" customFormat="1" x14ac:dyDescent="0.4">
      <c r="A36" s="16"/>
      <c r="B36" s="16"/>
      <c r="C36" s="16"/>
      <c r="D36" s="16"/>
      <c r="E36" s="31">
        <f>DATE(1996,9,30)</f>
        <v>35338</v>
      </c>
      <c r="F36" s="46" t="s">
        <v>51</v>
      </c>
      <c r="G36" s="16">
        <v>7</v>
      </c>
      <c r="H36" s="18">
        <v>50</v>
      </c>
    </row>
    <row r="37" spans="1:8" x14ac:dyDescent="0.4">
      <c r="A37" s="13">
        <v>13</v>
      </c>
      <c r="B37" s="13" t="s">
        <v>276</v>
      </c>
      <c r="E37" s="14" t="s">
        <v>50</v>
      </c>
      <c r="F37" s="19" t="s">
        <v>87</v>
      </c>
      <c r="G37" s="13">
        <v>2</v>
      </c>
      <c r="H37" s="15">
        <v>50</v>
      </c>
    </row>
    <row r="38" spans="1:8" x14ac:dyDescent="0.4">
      <c r="G38" s="13">
        <f>SUM(G3:G37)</f>
        <v>241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12E4-4871-4F06-994D-31D6227459D0}">
  <dimension ref="A1:H33"/>
  <sheetViews>
    <sheetView topLeftCell="A29" workbookViewId="0">
      <selection activeCell="G33" sqref="G33"/>
    </sheetView>
  </sheetViews>
  <sheetFormatPr defaultColWidth="11.5546875" defaultRowHeight="12" x14ac:dyDescent="0.4"/>
  <cols>
    <col min="1" max="1" width="3.6640625" style="13" customWidth="1"/>
    <col min="2" max="2" width="30.44140625" style="13" customWidth="1"/>
    <col min="3" max="3" width="19.33203125" style="13" customWidth="1"/>
    <col min="4" max="4" width="18" style="13" customWidth="1"/>
    <col min="5" max="5" width="14" style="13" customWidth="1"/>
    <col min="6" max="6" width="8.33203125" style="19" customWidth="1"/>
    <col min="7" max="7" width="4.44140625" style="13" customWidth="1"/>
    <col min="8" max="8" width="4.33203125" style="15" customWidth="1"/>
    <col min="9" max="16384" width="11.5546875" style="15"/>
  </cols>
  <sheetData>
    <row r="1" spans="1:8" s="21" customFormat="1" x14ac:dyDescent="0.4">
      <c r="A1" s="95" t="s">
        <v>277</v>
      </c>
      <c r="B1" s="95"/>
      <c r="C1" s="95"/>
      <c r="F1" s="22"/>
    </row>
    <row r="2" spans="1:8" s="12" customFormat="1" x14ac:dyDescent="0.4">
      <c r="A2" s="10" t="s">
        <v>0</v>
      </c>
      <c r="B2" s="10" t="s">
        <v>41</v>
      </c>
      <c r="C2" s="10" t="s">
        <v>42</v>
      </c>
      <c r="D2" s="10" t="s">
        <v>43</v>
      </c>
      <c r="E2" s="10" t="s">
        <v>44</v>
      </c>
      <c r="F2" s="76" t="s">
        <v>45</v>
      </c>
      <c r="G2" s="10" t="s">
        <v>46</v>
      </c>
      <c r="H2" s="12" t="s">
        <v>47</v>
      </c>
    </row>
    <row r="3" spans="1:8" x14ac:dyDescent="0.4">
      <c r="A3" s="13">
        <v>1</v>
      </c>
      <c r="B3" s="13" t="s">
        <v>68</v>
      </c>
      <c r="C3" s="13" t="s">
        <v>64</v>
      </c>
      <c r="D3" s="13" t="s">
        <v>278</v>
      </c>
      <c r="E3" s="30">
        <f>DATE(1997,3,10)</f>
        <v>35499</v>
      </c>
      <c r="F3" s="19" t="s">
        <v>51</v>
      </c>
      <c r="G3" s="13">
        <v>7</v>
      </c>
      <c r="H3" s="15">
        <v>50</v>
      </c>
    </row>
    <row r="4" spans="1:8" s="18" customFormat="1" x14ac:dyDescent="0.4">
      <c r="A4" s="16">
        <v>2</v>
      </c>
      <c r="B4" s="16" t="s">
        <v>141</v>
      </c>
      <c r="C4" s="16" t="s">
        <v>77</v>
      </c>
      <c r="D4" s="16"/>
      <c r="E4" s="33" t="s">
        <v>212</v>
      </c>
      <c r="F4" s="46" t="s">
        <v>51</v>
      </c>
      <c r="G4" s="18">
        <v>1</v>
      </c>
      <c r="H4" s="18">
        <v>50</v>
      </c>
    </row>
    <row r="5" spans="1:8" s="18" customFormat="1" x14ac:dyDescent="0.4">
      <c r="A5" s="16"/>
      <c r="B5" s="16" t="s">
        <v>147</v>
      </c>
      <c r="C5" s="16" t="s">
        <v>279</v>
      </c>
      <c r="D5" s="16"/>
      <c r="E5" s="25">
        <f>DATE(2001,2,1)</f>
        <v>36923</v>
      </c>
      <c r="F5" s="46" t="s">
        <v>51</v>
      </c>
      <c r="G5" s="18">
        <v>7</v>
      </c>
      <c r="H5" s="18">
        <v>50</v>
      </c>
    </row>
    <row r="6" spans="1:8" s="18" customFormat="1" x14ac:dyDescent="0.4">
      <c r="A6" s="16"/>
      <c r="B6" s="16"/>
      <c r="C6" s="16"/>
      <c r="D6" s="16"/>
      <c r="E6" s="31">
        <f>DATE(2001,2,2)</f>
        <v>36924</v>
      </c>
      <c r="F6" s="46" t="s">
        <v>51</v>
      </c>
      <c r="G6" s="16">
        <v>10</v>
      </c>
      <c r="H6" s="18">
        <v>50</v>
      </c>
    </row>
    <row r="7" spans="1:8" s="18" customFormat="1" x14ac:dyDescent="0.4">
      <c r="A7" s="16"/>
      <c r="B7" s="16"/>
      <c r="C7" s="16"/>
      <c r="D7" s="16"/>
      <c r="E7" s="31">
        <f>DATE(2001,2,3)</f>
        <v>36925</v>
      </c>
      <c r="F7" s="46" t="s">
        <v>51</v>
      </c>
      <c r="G7" s="16">
        <v>9</v>
      </c>
      <c r="H7" s="18">
        <v>50</v>
      </c>
    </row>
    <row r="8" spans="1:8" s="18" customFormat="1" x14ac:dyDescent="0.4">
      <c r="A8" s="16"/>
      <c r="B8" s="16"/>
      <c r="C8" s="16"/>
      <c r="D8" s="16"/>
      <c r="E8" s="31">
        <f>DATE(2001,2,4)</f>
        <v>36926</v>
      </c>
      <c r="F8" s="46" t="s">
        <v>51</v>
      </c>
      <c r="G8" s="16">
        <v>3</v>
      </c>
      <c r="H8" s="18">
        <v>50</v>
      </c>
    </row>
    <row r="9" spans="1:8" s="18" customFormat="1" x14ac:dyDescent="0.4">
      <c r="A9" s="16"/>
      <c r="B9" s="35"/>
      <c r="C9" s="16"/>
      <c r="D9" s="16"/>
      <c r="E9" s="31">
        <f>DATE(2001,2,5)</f>
        <v>36927</v>
      </c>
      <c r="F9" s="46" t="s">
        <v>51</v>
      </c>
      <c r="G9" s="16">
        <v>10</v>
      </c>
      <c r="H9" s="18">
        <v>50</v>
      </c>
    </row>
    <row r="10" spans="1:8" s="18" customFormat="1" x14ac:dyDescent="0.4">
      <c r="A10" s="16"/>
      <c r="B10" s="16"/>
      <c r="C10" s="16"/>
      <c r="D10" s="16"/>
      <c r="E10" s="31">
        <f>DATE(2001,2,6)</f>
        <v>36928</v>
      </c>
      <c r="F10" s="46" t="s">
        <v>51</v>
      </c>
      <c r="G10" s="16">
        <v>7</v>
      </c>
      <c r="H10" s="18">
        <v>50</v>
      </c>
    </row>
    <row r="11" spans="1:8" s="18" customFormat="1" x14ac:dyDescent="0.4">
      <c r="A11" s="16"/>
      <c r="B11" s="16"/>
      <c r="C11" s="16"/>
      <c r="D11" s="16"/>
      <c r="E11" s="31">
        <f>DATE(2001,2,7)</f>
        <v>36929</v>
      </c>
      <c r="F11" s="46" t="s">
        <v>51</v>
      </c>
      <c r="G11" s="16">
        <v>8</v>
      </c>
      <c r="H11" s="18">
        <v>50</v>
      </c>
    </row>
    <row r="12" spans="1:8" s="18" customFormat="1" x14ac:dyDescent="0.4">
      <c r="A12" s="16"/>
      <c r="B12" s="16"/>
      <c r="C12" s="16"/>
      <c r="D12" s="16"/>
      <c r="E12" s="31">
        <f>DATE(2001,2,8)</f>
        <v>36930</v>
      </c>
      <c r="F12" s="46" t="s">
        <v>51</v>
      </c>
      <c r="G12" s="16">
        <v>10</v>
      </c>
      <c r="H12" s="18">
        <v>50</v>
      </c>
    </row>
    <row r="13" spans="1:8" s="18" customFormat="1" x14ac:dyDescent="0.4">
      <c r="A13" s="16"/>
      <c r="B13" s="16"/>
      <c r="C13" s="16"/>
      <c r="D13" s="16"/>
      <c r="E13" s="31">
        <f>DATE(2001,2,9)</f>
        <v>36931</v>
      </c>
      <c r="F13" s="46" t="s">
        <v>51</v>
      </c>
      <c r="G13" s="16">
        <v>11</v>
      </c>
      <c r="H13" s="18">
        <v>50</v>
      </c>
    </row>
    <row r="14" spans="1:8" s="18" customFormat="1" x14ac:dyDescent="0.4">
      <c r="A14" s="16"/>
      <c r="B14" s="16"/>
      <c r="C14" s="16"/>
      <c r="D14" s="16"/>
      <c r="E14" s="31">
        <f>DATE(2001,2,10)</f>
        <v>36932</v>
      </c>
      <c r="F14" s="46" t="s">
        <v>51</v>
      </c>
      <c r="G14" s="16">
        <v>7</v>
      </c>
      <c r="H14" s="18">
        <v>50</v>
      </c>
    </row>
    <row r="15" spans="1:8" s="18" customFormat="1" x14ac:dyDescent="0.4">
      <c r="A15" s="16"/>
      <c r="B15" s="16"/>
      <c r="C15" s="16"/>
      <c r="D15" s="16"/>
      <c r="E15" s="31">
        <f>DATE(2001,2,11)</f>
        <v>36933</v>
      </c>
      <c r="F15" s="46" t="s">
        <v>51</v>
      </c>
      <c r="G15" s="16">
        <v>6</v>
      </c>
      <c r="H15" s="18">
        <v>50</v>
      </c>
    </row>
    <row r="16" spans="1:8" s="18" customFormat="1" x14ac:dyDescent="0.4">
      <c r="A16" s="16"/>
      <c r="B16" s="16"/>
      <c r="C16" s="35"/>
      <c r="D16" s="35"/>
      <c r="E16" s="37">
        <f>DATE(2001,2,12)</f>
        <v>36934</v>
      </c>
      <c r="F16" s="46" t="s">
        <v>51</v>
      </c>
      <c r="G16" s="16">
        <v>8</v>
      </c>
      <c r="H16" s="18">
        <v>50</v>
      </c>
    </row>
    <row r="17" spans="1:8" s="18" customFormat="1" x14ac:dyDescent="0.4">
      <c r="A17" s="16"/>
      <c r="B17" s="16"/>
      <c r="C17" s="16"/>
      <c r="D17" s="16"/>
      <c r="E17" s="37">
        <f>DATE(2001,2,13)</f>
        <v>36935</v>
      </c>
      <c r="F17" s="46" t="s">
        <v>51</v>
      </c>
      <c r="G17" s="16">
        <v>11</v>
      </c>
      <c r="H17" s="18">
        <v>50</v>
      </c>
    </row>
    <row r="18" spans="1:8" s="18" customFormat="1" x14ac:dyDescent="0.4">
      <c r="A18" s="16"/>
      <c r="B18" s="16"/>
      <c r="C18" s="16"/>
      <c r="D18" s="16"/>
      <c r="E18" s="37">
        <f>DATE(2001,2,14)</f>
        <v>36936</v>
      </c>
      <c r="F18" s="46" t="s">
        <v>51</v>
      </c>
      <c r="G18" s="16">
        <v>6</v>
      </c>
      <c r="H18" s="18">
        <v>50</v>
      </c>
    </row>
    <row r="19" spans="1:8" s="18" customFormat="1" x14ac:dyDescent="0.4">
      <c r="A19" s="16"/>
      <c r="B19" s="16"/>
      <c r="C19" s="16"/>
      <c r="D19" s="16"/>
      <c r="E19" s="37">
        <f>DATE(2001,2,15)</f>
        <v>36937</v>
      </c>
      <c r="F19" s="46" t="s">
        <v>51</v>
      </c>
      <c r="G19" s="16">
        <v>4</v>
      </c>
      <c r="H19" s="18">
        <v>50</v>
      </c>
    </row>
    <row r="20" spans="1:8" s="18" customFormat="1" x14ac:dyDescent="0.4">
      <c r="A20" s="16"/>
      <c r="B20" s="16"/>
      <c r="C20" s="16"/>
      <c r="D20" s="16"/>
      <c r="E20" s="37">
        <f>DATE(2001,2,16)</f>
        <v>36938</v>
      </c>
      <c r="F20" s="46" t="s">
        <v>51</v>
      </c>
      <c r="G20" s="16">
        <v>6</v>
      </c>
      <c r="H20" s="18">
        <v>50</v>
      </c>
    </row>
    <row r="21" spans="1:8" s="18" customFormat="1" x14ac:dyDescent="0.4">
      <c r="A21" s="16"/>
      <c r="B21" s="16"/>
      <c r="C21" s="16"/>
      <c r="D21" s="16"/>
      <c r="E21" s="37">
        <f>DATE(2001,2,17)</f>
        <v>36939</v>
      </c>
      <c r="F21" s="46" t="s">
        <v>51</v>
      </c>
      <c r="G21" s="16">
        <v>9</v>
      </c>
      <c r="H21" s="18">
        <v>50</v>
      </c>
    </row>
    <row r="22" spans="1:8" s="18" customFormat="1" x14ac:dyDescent="0.4">
      <c r="A22" s="16"/>
      <c r="B22" s="16"/>
      <c r="C22" s="16"/>
      <c r="D22" s="16"/>
      <c r="E22" s="37">
        <f>DATE(2001,2,18)</f>
        <v>36940</v>
      </c>
      <c r="F22" s="46" t="s">
        <v>51</v>
      </c>
      <c r="G22" s="16">
        <v>3</v>
      </c>
      <c r="H22" s="18">
        <v>50</v>
      </c>
    </row>
    <row r="23" spans="1:8" s="18" customFormat="1" x14ac:dyDescent="0.4">
      <c r="A23" s="16"/>
      <c r="B23" s="16"/>
      <c r="C23" s="16"/>
      <c r="D23" s="16"/>
      <c r="E23" s="37">
        <f>DATE(2001,2,19)</f>
        <v>36941</v>
      </c>
      <c r="F23" s="46" t="s">
        <v>51</v>
      </c>
      <c r="G23" s="16">
        <v>3</v>
      </c>
      <c r="H23" s="18">
        <v>50</v>
      </c>
    </row>
    <row r="24" spans="1:8" s="18" customFormat="1" x14ac:dyDescent="0.4">
      <c r="A24" s="16"/>
      <c r="B24" s="16"/>
      <c r="C24" s="16"/>
      <c r="D24" s="16"/>
      <c r="E24" s="37">
        <f>DATE(2001,2,20)</f>
        <v>36942</v>
      </c>
      <c r="F24" s="46" t="s">
        <v>51</v>
      </c>
      <c r="G24" s="16">
        <v>3</v>
      </c>
      <c r="H24" s="18">
        <v>50</v>
      </c>
    </row>
    <row r="25" spans="1:8" s="18" customFormat="1" x14ac:dyDescent="0.4">
      <c r="A25" s="16"/>
      <c r="B25" s="16"/>
      <c r="C25" s="16"/>
      <c r="D25" s="16"/>
      <c r="E25" s="37">
        <f>DATE(2001,2,21)</f>
        <v>36943</v>
      </c>
      <c r="F25" s="46" t="s">
        <v>51</v>
      </c>
      <c r="G25" s="16">
        <v>3</v>
      </c>
      <c r="H25" s="18">
        <v>50</v>
      </c>
    </row>
    <row r="26" spans="1:8" s="18" customFormat="1" x14ac:dyDescent="0.4">
      <c r="A26" s="16"/>
      <c r="B26" s="16"/>
      <c r="C26" s="16"/>
      <c r="D26" s="16"/>
      <c r="E26" s="37">
        <f>DATE(2001,2,22)</f>
        <v>36944</v>
      </c>
      <c r="F26" s="46" t="s">
        <v>51</v>
      </c>
      <c r="G26" s="16">
        <v>3</v>
      </c>
      <c r="H26" s="18">
        <v>50</v>
      </c>
    </row>
    <row r="27" spans="1:8" s="18" customFormat="1" x14ac:dyDescent="0.4">
      <c r="A27" s="16"/>
      <c r="B27" s="16"/>
      <c r="C27" s="16"/>
      <c r="D27" s="16"/>
      <c r="E27" s="37">
        <f>DATE(2001,2,23)</f>
        <v>36945</v>
      </c>
      <c r="F27" s="46" t="s">
        <v>51</v>
      </c>
      <c r="G27" s="16">
        <v>3</v>
      </c>
      <c r="H27" s="18">
        <v>50</v>
      </c>
    </row>
    <row r="28" spans="1:8" s="18" customFormat="1" x14ac:dyDescent="0.4">
      <c r="A28" s="16"/>
      <c r="B28" s="16"/>
      <c r="C28" s="16"/>
      <c r="D28" s="16"/>
      <c r="E28" s="37">
        <f>DATE(2001,2,24)</f>
        <v>36946</v>
      </c>
      <c r="F28" s="46" t="s">
        <v>51</v>
      </c>
      <c r="G28" s="16">
        <v>3</v>
      </c>
      <c r="H28" s="18">
        <v>50</v>
      </c>
    </row>
    <row r="29" spans="1:8" s="18" customFormat="1" x14ac:dyDescent="0.4">
      <c r="A29" s="16"/>
      <c r="B29" s="16"/>
      <c r="C29" s="16"/>
      <c r="D29" s="16"/>
      <c r="E29" s="37">
        <f>DATE(2001,2,25)</f>
        <v>36947</v>
      </c>
      <c r="F29" s="46" t="s">
        <v>51</v>
      </c>
      <c r="G29" s="16">
        <v>3</v>
      </c>
      <c r="H29" s="18">
        <v>50</v>
      </c>
    </row>
    <row r="30" spans="1:8" s="18" customFormat="1" x14ac:dyDescent="0.4">
      <c r="A30" s="16"/>
      <c r="B30" s="16"/>
      <c r="C30" s="16"/>
      <c r="D30" s="16"/>
      <c r="E30" s="37">
        <f>DATE(2001,2,26)</f>
        <v>36948</v>
      </c>
      <c r="F30" s="46" t="s">
        <v>51</v>
      </c>
      <c r="G30" s="16">
        <v>4</v>
      </c>
      <c r="H30" s="18">
        <v>50</v>
      </c>
    </row>
    <row r="31" spans="1:8" s="18" customFormat="1" x14ac:dyDescent="0.4">
      <c r="A31" s="16"/>
      <c r="B31" s="16"/>
      <c r="C31" s="16"/>
      <c r="D31" s="16"/>
      <c r="E31" s="37">
        <f>DATE(2001,2,27)</f>
        <v>36949</v>
      </c>
      <c r="F31" s="46" t="s">
        <v>51</v>
      </c>
      <c r="G31" s="16">
        <v>3</v>
      </c>
      <c r="H31" s="18">
        <v>50</v>
      </c>
    </row>
    <row r="32" spans="1:8" s="18" customFormat="1" x14ac:dyDescent="0.4">
      <c r="A32" s="16"/>
      <c r="B32" s="16"/>
      <c r="C32" s="16"/>
      <c r="D32" s="16"/>
      <c r="E32" s="37">
        <f>DATE(2001,2,28)</f>
        <v>36950</v>
      </c>
      <c r="F32" s="46" t="s">
        <v>51</v>
      </c>
      <c r="G32" s="16">
        <v>3</v>
      </c>
      <c r="H32" s="18">
        <v>50</v>
      </c>
    </row>
    <row r="33" spans="5:7" x14ac:dyDescent="0.4">
      <c r="E33" s="15"/>
      <c r="G33" s="13">
        <f>SUM(G3:G32)</f>
        <v>174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ECB09-4310-47F2-AE94-47E3481E9DC4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44140625" style="13" customWidth="1"/>
    <col min="2" max="2" width="23.44140625" style="13" customWidth="1"/>
    <col min="3" max="3" width="12.21875" style="13" customWidth="1"/>
    <col min="4" max="4" width="24.5546875" style="13" customWidth="1"/>
    <col min="5" max="5" width="9.33203125" style="19" customWidth="1"/>
    <col min="6" max="6" width="10.21875" style="13" customWidth="1"/>
    <col min="7" max="7" width="4.44140625" style="13" customWidth="1"/>
    <col min="8" max="8" width="4.109375" style="15" customWidth="1"/>
    <col min="9" max="16384" width="11.5546875" style="15"/>
  </cols>
  <sheetData>
    <row r="1" spans="1:8" s="21" customFormat="1" x14ac:dyDescent="0.4">
      <c r="A1" s="95" t="s">
        <v>280</v>
      </c>
      <c r="B1" s="95"/>
      <c r="C1" s="95"/>
      <c r="E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281</v>
      </c>
      <c r="E3" s="19" t="s">
        <v>50</v>
      </c>
      <c r="F3" s="19" t="s">
        <v>51</v>
      </c>
      <c r="G3" s="13">
        <v>4</v>
      </c>
      <c r="H3" s="15">
        <v>50</v>
      </c>
    </row>
    <row r="4" spans="1:8" x14ac:dyDescent="0.4">
      <c r="G4" s="13">
        <f>SUM(G3)</f>
        <v>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E9DF2-9880-4C7D-B67C-6937C2913BD9}">
  <dimension ref="A1:H8"/>
  <sheetViews>
    <sheetView workbookViewId="0">
      <selection activeCell="H8" sqref="H8"/>
    </sheetView>
  </sheetViews>
  <sheetFormatPr defaultColWidth="11.5546875" defaultRowHeight="12" x14ac:dyDescent="0.4"/>
  <cols>
    <col min="1" max="1" width="3.44140625" style="13" customWidth="1"/>
    <col min="2" max="2" width="36" style="13" customWidth="1"/>
    <col min="3" max="3" width="17.33203125" style="13" customWidth="1"/>
    <col min="4" max="4" width="16.88671875" style="13" customWidth="1"/>
    <col min="5" max="5" width="13.6640625" style="19" customWidth="1"/>
    <col min="6" max="6" width="8.44140625" style="19" customWidth="1"/>
    <col min="7" max="7" width="4.44140625" style="13" customWidth="1"/>
    <col min="8" max="8" width="4.33203125" style="15" customWidth="1"/>
    <col min="9" max="16384" width="11.5546875" style="15"/>
  </cols>
  <sheetData>
    <row r="1" spans="1:8" s="21" customFormat="1" x14ac:dyDescent="0.4">
      <c r="A1" s="95" t="s">
        <v>282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D3" s="13" t="s">
        <v>283</v>
      </c>
      <c r="E3" s="14" t="s">
        <v>50</v>
      </c>
      <c r="F3" s="19" t="s">
        <v>51</v>
      </c>
      <c r="G3" s="13">
        <v>6</v>
      </c>
      <c r="H3" s="15">
        <v>53</v>
      </c>
    </row>
    <row r="4" spans="1:8" s="18" customFormat="1" x14ac:dyDescent="0.4">
      <c r="A4" s="16">
        <v>2</v>
      </c>
      <c r="B4" s="16" t="s">
        <v>55</v>
      </c>
      <c r="C4" s="16"/>
      <c r="D4" s="16" t="s">
        <v>284</v>
      </c>
      <c r="E4" s="17" t="s">
        <v>50</v>
      </c>
      <c r="F4" s="46" t="s">
        <v>51</v>
      </c>
      <c r="G4" s="16">
        <v>5</v>
      </c>
      <c r="H4" s="18">
        <v>53</v>
      </c>
    </row>
    <row r="5" spans="1:8" x14ac:dyDescent="0.4">
      <c r="A5" s="13">
        <v>3</v>
      </c>
      <c r="B5" s="13" t="s">
        <v>56</v>
      </c>
      <c r="D5" s="13" t="s">
        <v>284</v>
      </c>
      <c r="E5" s="14" t="s">
        <v>50</v>
      </c>
      <c r="F5" s="19" t="s">
        <v>51</v>
      </c>
      <c r="G5" s="13">
        <v>9</v>
      </c>
      <c r="H5" s="15">
        <v>53</v>
      </c>
    </row>
    <row r="6" spans="1:8" s="18" customFormat="1" x14ac:dyDescent="0.4">
      <c r="A6" s="16">
        <v>4</v>
      </c>
      <c r="B6" s="16" t="s">
        <v>285</v>
      </c>
      <c r="C6" s="16"/>
      <c r="D6" s="16"/>
      <c r="E6" s="17" t="s">
        <v>50</v>
      </c>
      <c r="F6" s="46" t="s">
        <v>51</v>
      </c>
      <c r="G6" s="16">
        <v>1</v>
      </c>
      <c r="H6" s="18">
        <v>53</v>
      </c>
    </row>
    <row r="7" spans="1:8" ht="24" x14ac:dyDescent="0.4">
      <c r="A7" s="13">
        <v>5</v>
      </c>
      <c r="B7" s="13" t="s">
        <v>286</v>
      </c>
      <c r="C7" s="13" t="s">
        <v>189</v>
      </c>
      <c r="D7" s="13" t="s">
        <v>284</v>
      </c>
      <c r="E7" s="14">
        <f>DATE(1995,11,1)</f>
        <v>35004</v>
      </c>
      <c r="F7" s="19" t="s">
        <v>51</v>
      </c>
      <c r="G7" s="13">
        <v>21</v>
      </c>
      <c r="H7" s="15">
        <v>53</v>
      </c>
    </row>
    <row r="8" spans="1:8" x14ac:dyDescent="0.4">
      <c r="G8" s="13">
        <f>SUM(G3:G7)</f>
        <v>42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5FC7-A987-4AFE-9A75-C908AD40E1CB}">
  <dimension ref="A1:H187"/>
  <sheetViews>
    <sheetView topLeftCell="A164" workbookViewId="0">
      <selection activeCell="B170" sqref="B170"/>
    </sheetView>
  </sheetViews>
  <sheetFormatPr defaultColWidth="11.5546875" defaultRowHeight="12" x14ac:dyDescent="0.4"/>
  <cols>
    <col min="1" max="1" width="3.33203125" style="13" customWidth="1"/>
    <col min="2" max="2" width="46.5546875" style="13" customWidth="1"/>
    <col min="3" max="3" width="15.44140625" style="13" customWidth="1"/>
    <col min="4" max="4" width="20.77734375" style="13" customWidth="1"/>
    <col min="5" max="5" width="13.5546875" style="14" customWidth="1"/>
    <col min="6" max="6" width="7.5546875" style="19" customWidth="1"/>
    <col min="7" max="7" width="14.777343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287</v>
      </c>
      <c r="B1" s="95"/>
      <c r="C1" s="95"/>
      <c r="E1" s="28"/>
      <c r="F1" s="22"/>
    </row>
    <row r="2" spans="1:8" s="12" customFormat="1" x14ac:dyDescent="0.4">
      <c r="A2" s="10" t="s">
        <v>0</v>
      </c>
      <c r="B2" s="10" t="s">
        <v>41</v>
      </c>
      <c r="C2" s="10" t="s">
        <v>42</v>
      </c>
      <c r="D2" s="10" t="s">
        <v>43</v>
      </c>
      <c r="E2" s="23" t="s">
        <v>44</v>
      </c>
      <c r="F2" s="76" t="s">
        <v>45</v>
      </c>
      <c r="G2" s="10" t="s">
        <v>46</v>
      </c>
      <c r="H2" s="12" t="s">
        <v>47</v>
      </c>
    </row>
    <row r="3" spans="1:8" s="18" customFormat="1" x14ac:dyDescent="0.4">
      <c r="A3" s="16">
        <v>1</v>
      </c>
      <c r="B3" s="16" t="s">
        <v>60</v>
      </c>
      <c r="C3" s="16" t="s">
        <v>61</v>
      </c>
      <c r="D3" s="16" t="s">
        <v>288</v>
      </c>
      <c r="E3" s="17">
        <f>DATE(1990,3,12)</f>
        <v>32944</v>
      </c>
      <c r="F3" s="46" t="s">
        <v>51</v>
      </c>
      <c r="G3" s="16">
        <v>10</v>
      </c>
      <c r="H3" s="18">
        <v>51</v>
      </c>
    </row>
    <row r="4" spans="1:8" x14ac:dyDescent="0.4">
      <c r="A4" s="15">
        <v>2</v>
      </c>
      <c r="B4" s="13" t="s">
        <v>63</v>
      </c>
      <c r="C4" s="15" t="s">
        <v>61</v>
      </c>
      <c r="D4" s="15" t="s">
        <v>288</v>
      </c>
      <c r="E4" s="24">
        <f>DATE(1991,3,29)</f>
        <v>33326</v>
      </c>
      <c r="F4" s="29" t="s">
        <v>51</v>
      </c>
      <c r="G4" s="15">
        <v>11</v>
      </c>
      <c r="H4" s="15">
        <v>51</v>
      </c>
    </row>
    <row r="5" spans="1:8" s="18" customFormat="1" x14ac:dyDescent="0.4">
      <c r="A5" s="16">
        <v>3</v>
      </c>
      <c r="B5" s="16" t="s">
        <v>65</v>
      </c>
      <c r="C5" s="16" t="s">
        <v>61</v>
      </c>
      <c r="D5" s="16" t="s">
        <v>288</v>
      </c>
      <c r="E5" s="17" t="s">
        <v>50</v>
      </c>
      <c r="F5" s="46" t="s">
        <v>51</v>
      </c>
      <c r="G5" s="16">
        <v>9</v>
      </c>
      <c r="H5" s="18">
        <v>51</v>
      </c>
    </row>
    <row r="6" spans="1:8" x14ac:dyDescent="0.4">
      <c r="A6" s="15">
        <v>4</v>
      </c>
      <c r="B6" s="13" t="s">
        <v>53</v>
      </c>
      <c r="C6" s="15" t="s">
        <v>61</v>
      </c>
      <c r="D6" s="15" t="s">
        <v>288</v>
      </c>
      <c r="E6" s="24">
        <f>DATE(1993,5,6)</f>
        <v>34095</v>
      </c>
      <c r="F6" s="29" t="s">
        <v>51</v>
      </c>
      <c r="G6" s="15">
        <v>11</v>
      </c>
      <c r="H6" s="15">
        <v>51</v>
      </c>
    </row>
    <row r="7" spans="1:8" s="18" customFormat="1" x14ac:dyDescent="0.4">
      <c r="A7" s="16">
        <v>5</v>
      </c>
      <c r="B7" s="16" t="s">
        <v>55</v>
      </c>
      <c r="C7" s="16" t="s">
        <v>64</v>
      </c>
      <c r="D7" s="16" t="s">
        <v>288</v>
      </c>
      <c r="E7" s="17" t="s">
        <v>50</v>
      </c>
      <c r="F7" s="46" t="s">
        <v>51</v>
      </c>
      <c r="G7" s="16">
        <v>12</v>
      </c>
      <c r="H7" s="18">
        <v>51</v>
      </c>
    </row>
    <row r="8" spans="1:8" x14ac:dyDescent="0.4">
      <c r="A8" s="15">
        <v>6</v>
      </c>
      <c r="B8" s="13" t="s">
        <v>56</v>
      </c>
      <c r="C8" s="15" t="s">
        <v>64</v>
      </c>
      <c r="D8" s="15" t="s">
        <v>288</v>
      </c>
      <c r="E8" s="26" t="s">
        <v>50</v>
      </c>
      <c r="F8" s="29" t="s">
        <v>51</v>
      </c>
      <c r="G8" s="15">
        <v>19</v>
      </c>
      <c r="H8" s="15">
        <v>51</v>
      </c>
    </row>
    <row r="9" spans="1:8" s="18" customFormat="1" x14ac:dyDescent="0.4">
      <c r="A9" s="16">
        <v>7</v>
      </c>
      <c r="B9" s="35" t="s">
        <v>67</v>
      </c>
      <c r="C9" s="16" t="s">
        <v>64</v>
      </c>
      <c r="D9" s="16" t="s">
        <v>288</v>
      </c>
      <c r="E9" s="17">
        <f>DATE(1996,4,10)</f>
        <v>35165</v>
      </c>
      <c r="F9" s="46" t="s">
        <v>51</v>
      </c>
      <c r="G9" s="16">
        <v>37</v>
      </c>
      <c r="H9" s="18">
        <v>51</v>
      </c>
    </row>
    <row r="10" spans="1:8" x14ac:dyDescent="0.4">
      <c r="A10" s="15">
        <v>8</v>
      </c>
      <c r="B10" s="13" t="s">
        <v>68</v>
      </c>
      <c r="C10" s="15" t="s">
        <v>66</v>
      </c>
      <c r="D10" s="15" t="s">
        <v>288</v>
      </c>
      <c r="E10" s="24">
        <f>DATE(1997,2,24)</f>
        <v>35485</v>
      </c>
      <c r="F10" s="29" t="s">
        <v>51</v>
      </c>
      <c r="G10" s="15">
        <v>32</v>
      </c>
      <c r="H10" s="15">
        <v>51</v>
      </c>
    </row>
    <row r="11" spans="1:8" s="18" customFormat="1" x14ac:dyDescent="0.4">
      <c r="A11" s="16">
        <v>9</v>
      </c>
      <c r="B11" s="16" t="s">
        <v>240</v>
      </c>
      <c r="C11" s="16" t="s">
        <v>66</v>
      </c>
      <c r="D11" s="16" t="s">
        <v>288</v>
      </c>
      <c r="E11" s="17">
        <f>DATE(1998,3,9)</f>
        <v>35863</v>
      </c>
      <c r="F11" s="46" t="s">
        <v>51</v>
      </c>
      <c r="G11" s="16">
        <v>29</v>
      </c>
      <c r="H11" s="18">
        <v>51</v>
      </c>
    </row>
    <row r="12" spans="1:8" x14ac:dyDescent="0.4">
      <c r="A12" s="15">
        <v>10</v>
      </c>
      <c r="B12" s="13" t="s">
        <v>289</v>
      </c>
      <c r="C12" s="15" t="s">
        <v>290</v>
      </c>
      <c r="D12" s="15" t="s">
        <v>288</v>
      </c>
      <c r="E12" s="24">
        <f>DATE(1995,4,17)</f>
        <v>34806</v>
      </c>
      <c r="F12" s="29" t="s">
        <v>51</v>
      </c>
      <c r="G12" s="15">
        <v>16</v>
      </c>
      <c r="H12" s="15">
        <v>51</v>
      </c>
    </row>
    <row r="13" spans="1:8" s="18" customFormat="1" x14ac:dyDescent="0.4">
      <c r="A13" s="16">
        <v>11</v>
      </c>
      <c r="B13" s="16" t="s">
        <v>291</v>
      </c>
      <c r="C13" s="16" t="s">
        <v>292</v>
      </c>
      <c r="D13" s="16" t="s">
        <v>288</v>
      </c>
      <c r="E13" s="17">
        <f>DATE(1991,2,8)</f>
        <v>33277</v>
      </c>
      <c r="F13" s="46" t="s">
        <v>51</v>
      </c>
      <c r="G13" s="16">
        <v>999</v>
      </c>
      <c r="H13" s="18">
        <v>51</v>
      </c>
    </row>
    <row r="14" spans="1:8" x14ac:dyDescent="0.4">
      <c r="A14" s="15">
        <v>12</v>
      </c>
      <c r="B14" s="13" t="s">
        <v>293</v>
      </c>
      <c r="C14" s="15"/>
      <c r="D14" s="15"/>
      <c r="E14" s="24"/>
      <c r="F14" s="29" t="s">
        <v>51</v>
      </c>
      <c r="G14" s="15">
        <v>2</v>
      </c>
      <c r="H14" s="15">
        <v>51</v>
      </c>
    </row>
    <row r="15" spans="1:8" x14ac:dyDescent="0.4">
      <c r="A15" s="15"/>
      <c r="C15" s="15"/>
      <c r="D15" s="15"/>
      <c r="E15" s="24"/>
      <c r="F15" s="29" t="s">
        <v>294</v>
      </c>
      <c r="G15" s="15">
        <v>2</v>
      </c>
      <c r="H15" s="15">
        <v>51</v>
      </c>
    </row>
    <row r="16" spans="1:8" s="18" customFormat="1" x14ac:dyDescent="0.4">
      <c r="A16" s="16">
        <v>13</v>
      </c>
      <c r="B16" s="16" t="s">
        <v>83</v>
      </c>
      <c r="C16" s="16"/>
      <c r="D16" s="16"/>
      <c r="E16" s="17"/>
      <c r="F16" s="46" t="s">
        <v>294</v>
      </c>
      <c r="G16" s="16">
        <v>16</v>
      </c>
      <c r="H16" s="18">
        <v>51</v>
      </c>
    </row>
    <row r="17" spans="1:8" x14ac:dyDescent="0.4">
      <c r="A17" s="15">
        <v>14</v>
      </c>
      <c r="B17" s="13" t="s">
        <v>295</v>
      </c>
      <c r="C17" s="15"/>
      <c r="D17" s="15"/>
      <c r="E17" s="24"/>
      <c r="F17" s="29" t="s">
        <v>51</v>
      </c>
      <c r="G17" s="15">
        <v>4</v>
      </c>
      <c r="H17" s="15">
        <v>51</v>
      </c>
    </row>
    <row r="18" spans="1:8" s="18" customFormat="1" ht="15.75" x14ac:dyDescent="0.4">
      <c r="A18" s="18">
        <v>15</v>
      </c>
      <c r="B18" s="16" t="s">
        <v>296</v>
      </c>
      <c r="E18" s="36"/>
      <c r="F18" s="33" t="s">
        <v>294</v>
      </c>
      <c r="G18" s="18">
        <v>36</v>
      </c>
      <c r="H18" s="18">
        <v>51</v>
      </c>
    </row>
    <row r="19" spans="1:8" x14ac:dyDescent="0.4">
      <c r="A19" s="15">
        <v>16</v>
      </c>
      <c r="B19" s="13" t="s">
        <v>297</v>
      </c>
      <c r="C19" s="15"/>
      <c r="D19" s="15"/>
      <c r="E19" s="26"/>
      <c r="F19" s="29" t="s">
        <v>294</v>
      </c>
      <c r="G19" s="15">
        <v>15</v>
      </c>
      <c r="H19" s="15">
        <v>51</v>
      </c>
    </row>
    <row r="20" spans="1:8" s="18" customFormat="1" x14ac:dyDescent="0.4">
      <c r="A20" s="18">
        <v>17</v>
      </c>
      <c r="B20" s="16" t="s">
        <v>298</v>
      </c>
      <c r="E20" s="25"/>
      <c r="F20" s="33" t="s">
        <v>87</v>
      </c>
      <c r="G20" s="18">
        <v>7</v>
      </c>
      <c r="H20" s="18">
        <v>51</v>
      </c>
    </row>
    <row r="21" spans="1:8" x14ac:dyDescent="0.4">
      <c r="A21" s="15">
        <v>18</v>
      </c>
      <c r="B21" s="13" t="s">
        <v>299</v>
      </c>
      <c r="C21" s="15"/>
      <c r="D21" s="15"/>
      <c r="E21" s="24"/>
      <c r="F21" s="29" t="s">
        <v>87</v>
      </c>
      <c r="G21" s="15">
        <v>8</v>
      </c>
      <c r="H21" s="15">
        <v>51</v>
      </c>
    </row>
    <row r="22" spans="1:8" s="18" customFormat="1" ht="24" x14ac:dyDescent="0.4">
      <c r="A22" s="18">
        <v>19</v>
      </c>
      <c r="B22" s="16" t="s">
        <v>300</v>
      </c>
      <c r="E22" s="25"/>
      <c r="F22" s="33" t="s">
        <v>51</v>
      </c>
      <c r="G22" s="18">
        <v>5</v>
      </c>
      <c r="H22" s="18">
        <v>51</v>
      </c>
    </row>
    <row r="23" spans="1:8" x14ac:dyDescent="0.4">
      <c r="A23" s="15">
        <v>20</v>
      </c>
      <c r="B23" s="13" t="s">
        <v>301</v>
      </c>
      <c r="C23" s="15"/>
      <c r="D23" s="15"/>
      <c r="E23" s="24"/>
      <c r="F23" s="29" t="s">
        <v>51</v>
      </c>
      <c r="G23" s="15">
        <v>10</v>
      </c>
      <c r="H23" s="15">
        <v>51</v>
      </c>
    </row>
    <row r="24" spans="1:8" s="18" customFormat="1" ht="24" x14ac:dyDescent="0.4">
      <c r="A24" s="18">
        <v>21</v>
      </c>
      <c r="B24" s="16" t="s">
        <v>302</v>
      </c>
      <c r="E24" s="25">
        <f>DATE(1991,9,4)</f>
        <v>33485</v>
      </c>
      <c r="F24" s="33" t="s">
        <v>51</v>
      </c>
      <c r="G24" s="18">
        <v>13</v>
      </c>
      <c r="H24" s="18">
        <v>51</v>
      </c>
    </row>
    <row r="25" spans="1:8" x14ac:dyDescent="0.4">
      <c r="A25" s="15">
        <v>22</v>
      </c>
      <c r="B25" s="13" t="s">
        <v>303</v>
      </c>
      <c r="C25" s="15"/>
      <c r="D25" s="15"/>
      <c r="E25" s="24"/>
      <c r="F25" s="29" t="s">
        <v>51</v>
      </c>
      <c r="G25" s="15">
        <v>3</v>
      </c>
      <c r="H25" s="15">
        <v>51</v>
      </c>
    </row>
    <row r="26" spans="1:8" s="41" customFormat="1" x14ac:dyDescent="0.4">
      <c r="A26" s="39">
        <v>23</v>
      </c>
      <c r="B26" s="39" t="s">
        <v>304</v>
      </c>
      <c r="C26" s="39"/>
      <c r="D26" s="39"/>
      <c r="E26" s="56">
        <f>DATE(1991,9,4)</f>
        <v>33485</v>
      </c>
      <c r="F26" s="40" t="s">
        <v>51</v>
      </c>
      <c r="G26" s="39">
        <v>57</v>
      </c>
      <c r="H26" s="41">
        <v>51</v>
      </c>
    </row>
    <row r="27" spans="1:8" s="44" customFormat="1" x14ac:dyDescent="0.4">
      <c r="A27" s="42">
        <v>24</v>
      </c>
      <c r="B27" s="42" t="s">
        <v>254</v>
      </c>
      <c r="C27" s="42" t="s">
        <v>208</v>
      </c>
      <c r="D27" s="42"/>
      <c r="E27" s="60" t="s">
        <v>305</v>
      </c>
      <c r="F27" s="43" t="s">
        <v>294</v>
      </c>
      <c r="G27" s="42">
        <v>1</v>
      </c>
      <c r="H27" s="44">
        <v>51</v>
      </c>
    </row>
    <row r="28" spans="1:8" s="44" customFormat="1" x14ac:dyDescent="0.4">
      <c r="A28" s="42"/>
      <c r="B28" s="42" t="s">
        <v>147</v>
      </c>
      <c r="C28" s="42" t="s">
        <v>113</v>
      </c>
      <c r="D28" s="42"/>
      <c r="E28" s="60">
        <f>DATE(1988,1,1)</f>
        <v>32143</v>
      </c>
      <c r="F28" s="43" t="s">
        <v>294</v>
      </c>
      <c r="G28" s="42">
        <v>2</v>
      </c>
      <c r="H28" s="44">
        <v>51</v>
      </c>
    </row>
    <row r="29" spans="1:8" s="44" customFormat="1" x14ac:dyDescent="0.4">
      <c r="A29" s="42"/>
      <c r="B29" s="42"/>
      <c r="C29" s="42"/>
      <c r="D29" s="42"/>
      <c r="E29" s="60">
        <f>DATE(1988,1,21)</f>
        <v>32163</v>
      </c>
      <c r="F29" s="43" t="s">
        <v>294</v>
      </c>
      <c r="G29" s="42">
        <v>2</v>
      </c>
      <c r="H29" s="44">
        <v>51</v>
      </c>
    </row>
    <row r="30" spans="1:8" s="41" customFormat="1" x14ac:dyDescent="0.4">
      <c r="A30" s="39">
        <v>25</v>
      </c>
      <c r="B30" s="39" t="s">
        <v>254</v>
      </c>
      <c r="C30" s="39" t="s">
        <v>208</v>
      </c>
      <c r="D30" s="39"/>
      <c r="E30" s="56" t="s">
        <v>306</v>
      </c>
      <c r="F30" s="40" t="s">
        <v>294</v>
      </c>
      <c r="G30" s="39">
        <v>1</v>
      </c>
      <c r="H30" s="41">
        <v>51</v>
      </c>
    </row>
    <row r="31" spans="1:8" s="41" customFormat="1" x14ac:dyDescent="0.4">
      <c r="A31" s="39"/>
      <c r="B31" s="39" t="s">
        <v>112</v>
      </c>
      <c r="C31" s="39" t="s">
        <v>113</v>
      </c>
      <c r="D31" s="39"/>
      <c r="E31" s="56">
        <f>DATE(1988,2,2)</f>
        <v>32175</v>
      </c>
      <c r="F31" s="40" t="s">
        <v>294</v>
      </c>
      <c r="G31" s="39">
        <v>1</v>
      </c>
      <c r="H31" s="41">
        <v>51</v>
      </c>
    </row>
    <row r="32" spans="1:8" s="44" customFormat="1" x14ac:dyDescent="0.4">
      <c r="A32" s="42">
        <v>26</v>
      </c>
      <c r="B32" s="42" t="s">
        <v>254</v>
      </c>
      <c r="C32" s="42" t="s">
        <v>208</v>
      </c>
      <c r="D32" s="42"/>
      <c r="E32" s="60" t="s">
        <v>307</v>
      </c>
      <c r="F32" s="43" t="s">
        <v>294</v>
      </c>
      <c r="G32" s="42">
        <v>1</v>
      </c>
      <c r="H32" s="44">
        <v>51</v>
      </c>
    </row>
    <row r="33" spans="1:8" s="41" customFormat="1" x14ac:dyDescent="0.4">
      <c r="A33" s="39">
        <v>27</v>
      </c>
      <c r="B33" s="39" t="s">
        <v>254</v>
      </c>
      <c r="C33" s="39" t="s">
        <v>208</v>
      </c>
      <c r="D33" s="39"/>
      <c r="E33" s="56" t="s">
        <v>308</v>
      </c>
      <c r="F33" s="40" t="s">
        <v>294</v>
      </c>
      <c r="G33" s="39">
        <v>1</v>
      </c>
      <c r="H33" s="41">
        <v>51</v>
      </c>
    </row>
    <row r="34" spans="1:8" s="41" customFormat="1" x14ac:dyDescent="0.4">
      <c r="A34" s="39"/>
      <c r="B34" s="39" t="s">
        <v>112</v>
      </c>
      <c r="C34" s="39" t="s">
        <v>113</v>
      </c>
      <c r="D34" s="39"/>
      <c r="E34" s="56">
        <f>DATE(1988,4,9)</f>
        <v>32242</v>
      </c>
      <c r="F34" s="40" t="s">
        <v>294</v>
      </c>
      <c r="G34" s="39">
        <v>1</v>
      </c>
      <c r="H34" s="41">
        <v>51</v>
      </c>
    </row>
    <row r="35" spans="1:8" s="41" customFormat="1" x14ac:dyDescent="0.4">
      <c r="A35" s="39"/>
      <c r="B35" s="39"/>
      <c r="C35" s="39"/>
      <c r="D35" s="39"/>
      <c r="E35" s="56">
        <f>DATE(1988,4,15)</f>
        <v>32248</v>
      </c>
      <c r="F35" s="40" t="s">
        <v>294</v>
      </c>
      <c r="G35" s="39">
        <v>2</v>
      </c>
      <c r="H35" s="41">
        <v>51</v>
      </c>
    </row>
    <row r="36" spans="1:8" s="41" customFormat="1" x14ac:dyDescent="0.4">
      <c r="A36" s="39"/>
      <c r="B36" s="39"/>
      <c r="C36" s="39"/>
      <c r="D36" s="39"/>
      <c r="E36" s="56">
        <f>DATE(1988,4,16)</f>
        <v>32249</v>
      </c>
      <c r="F36" s="40" t="s">
        <v>294</v>
      </c>
      <c r="G36" s="39">
        <v>1</v>
      </c>
      <c r="H36" s="41">
        <v>51</v>
      </c>
    </row>
    <row r="37" spans="1:8" s="41" customFormat="1" x14ac:dyDescent="0.4">
      <c r="A37" s="39"/>
      <c r="B37" s="39"/>
      <c r="C37" s="39"/>
      <c r="D37" s="39"/>
      <c r="E37" s="56">
        <f>DATE(1988,4,17)</f>
        <v>32250</v>
      </c>
      <c r="F37" s="40" t="s">
        <v>294</v>
      </c>
      <c r="G37" s="39">
        <v>3</v>
      </c>
      <c r="H37" s="41">
        <v>51</v>
      </c>
    </row>
    <row r="38" spans="1:8" s="44" customFormat="1" x14ac:dyDescent="0.4">
      <c r="A38" s="42">
        <v>28</v>
      </c>
      <c r="B38" s="42" t="s">
        <v>254</v>
      </c>
      <c r="C38" s="42" t="s">
        <v>208</v>
      </c>
      <c r="D38" s="42"/>
      <c r="E38" s="60" t="s">
        <v>309</v>
      </c>
      <c r="F38" s="43" t="s">
        <v>294</v>
      </c>
      <c r="G38" s="42">
        <v>1</v>
      </c>
      <c r="H38" s="44">
        <v>51</v>
      </c>
    </row>
    <row r="39" spans="1:8" s="44" customFormat="1" x14ac:dyDescent="0.4">
      <c r="A39" s="42"/>
      <c r="B39" s="42" t="s">
        <v>112</v>
      </c>
      <c r="C39" s="42" t="s">
        <v>113</v>
      </c>
      <c r="D39" s="42"/>
      <c r="E39" s="60">
        <f>DATE(1988,5,17)</f>
        <v>32280</v>
      </c>
      <c r="F39" s="43" t="s">
        <v>294</v>
      </c>
      <c r="G39" s="42">
        <v>7</v>
      </c>
      <c r="H39" s="44">
        <v>51</v>
      </c>
    </row>
    <row r="40" spans="1:8" s="44" customFormat="1" x14ac:dyDescent="0.4">
      <c r="A40" s="42"/>
      <c r="B40" s="42"/>
      <c r="C40" s="42"/>
      <c r="D40" s="42"/>
      <c r="E40" s="60">
        <f>DATE(1988,5,20)</f>
        <v>32283</v>
      </c>
      <c r="F40" s="43" t="s">
        <v>294</v>
      </c>
      <c r="G40" s="42">
        <v>1</v>
      </c>
      <c r="H40" s="44">
        <v>51</v>
      </c>
    </row>
    <row r="41" spans="1:8" s="44" customFormat="1" x14ac:dyDescent="0.4">
      <c r="A41" s="42"/>
      <c r="B41" s="42"/>
      <c r="C41" s="42"/>
      <c r="D41" s="42"/>
      <c r="E41" s="60">
        <f>DATE(1988,5,21)</f>
        <v>32284</v>
      </c>
      <c r="F41" s="43" t="s">
        <v>294</v>
      </c>
      <c r="G41" s="42">
        <v>1</v>
      </c>
      <c r="H41" s="44">
        <v>51</v>
      </c>
    </row>
    <row r="42" spans="1:8" s="44" customFormat="1" x14ac:dyDescent="0.4">
      <c r="A42" s="42"/>
      <c r="B42" s="42"/>
      <c r="C42" s="42"/>
      <c r="D42" s="42"/>
      <c r="E42" s="60">
        <f>DATE(1988,5,22)</f>
        <v>32285</v>
      </c>
      <c r="F42" s="43" t="s">
        <v>294</v>
      </c>
      <c r="G42" s="42">
        <v>1</v>
      </c>
      <c r="H42" s="44">
        <v>51</v>
      </c>
    </row>
    <row r="43" spans="1:8" s="44" customFormat="1" x14ac:dyDescent="0.4">
      <c r="A43" s="42"/>
      <c r="B43" s="42"/>
      <c r="C43" s="42"/>
      <c r="D43" s="42"/>
      <c r="E43" s="60">
        <f>DATE(1988,5,25)</f>
        <v>32288</v>
      </c>
      <c r="F43" s="43" t="s">
        <v>294</v>
      </c>
      <c r="G43" s="42">
        <v>1</v>
      </c>
      <c r="H43" s="44">
        <v>51</v>
      </c>
    </row>
    <row r="44" spans="1:8" s="44" customFormat="1" x14ac:dyDescent="0.4">
      <c r="A44" s="42"/>
      <c r="B44" s="42"/>
      <c r="C44" s="42"/>
      <c r="D44" s="42"/>
      <c r="E44" s="60">
        <f>DATE(1988,5,26)</f>
        <v>32289</v>
      </c>
      <c r="F44" s="43" t="s">
        <v>294</v>
      </c>
      <c r="G44" s="42">
        <v>1</v>
      </c>
      <c r="H44" s="44">
        <v>51</v>
      </c>
    </row>
    <row r="45" spans="1:8" s="41" customFormat="1" x14ac:dyDescent="0.4">
      <c r="A45" s="39">
        <v>29</v>
      </c>
      <c r="B45" s="39" t="s">
        <v>254</v>
      </c>
      <c r="C45" s="39" t="s">
        <v>208</v>
      </c>
      <c r="D45" s="39"/>
      <c r="E45" s="56" t="s">
        <v>310</v>
      </c>
      <c r="F45" s="40" t="s">
        <v>294</v>
      </c>
      <c r="G45" s="39">
        <v>1</v>
      </c>
      <c r="H45" s="41">
        <v>51</v>
      </c>
    </row>
    <row r="46" spans="1:8" s="41" customFormat="1" x14ac:dyDescent="0.4">
      <c r="A46" s="39"/>
      <c r="B46" s="39" t="s">
        <v>112</v>
      </c>
      <c r="C46" s="39" t="s">
        <v>113</v>
      </c>
      <c r="D46" s="39"/>
      <c r="E46" s="56">
        <f>DATE(1988,6,14)</f>
        <v>32308</v>
      </c>
      <c r="F46" s="40" t="s">
        <v>294</v>
      </c>
      <c r="G46" s="39">
        <v>29</v>
      </c>
      <c r="H46" s="41">
        <v>51</v>
      </c>
    </row>
    <row r="47" spans="1:8" s="41" customFormat="1" x14ac:dyDescent="0.4">
      <c r="A47" s="39"/>
      <c r="B47" s="39"/>
      <c r="C47" s="39"/>
      <c r="D47" s="39"/>
      <c r="E47" s="56">
        <f>DATE(1988,6,15)</f>
        <v>32309</v>
      </c>
      <c r="F47" s="40" t="s">
        <v>294</v>
      </c>
      <c r="G47" s="39">
        <v>9</v>
      </c>
      <c r="H47" s="41">
        <v>51</v>
      </c>
    </row>
    <row r="48" spans="1:8" s="41" customFormat="1" x14ac:dyDescent="0.4">
      <c r="A48" s="39"/>
      <c r="B48" s="39"/>
      <c r="C48" s="39"/>
      <c r="D48" s="39"/>
      <c r="E48" s="56">
        <f>DATE(1988,6,16)</f>
        <v>32310</v>
      </c>
      <c r="F48" s="40" t="s">
        <v>294</v>
      </c>
      <c r="G48" s="39">
        <v>3</v>
      </c>
      <c r="H48" s="41">
        <v>51</v>
      </c>
    </row>
    <row r="49" spans="1:8" s="41" customFormat="1" x14ac:dyDescent="0.4">
      <c r="A49" s="39"/>
      <c r="B49" s="39"/>
      <c r="C49" s="39"/>
      <c r="D49" s="39"/>
      <c r="E49" s="56">
        <f>DATE(1988,6,19)</f>
        <v>32313</v>
      </c>
      <c r="F49" s="40" t="s">
        <v>294</v>
      </c>
      <c r="G49" s="39">
        <v>10</v>
      </c>
      <c r="H49" s="41">
        <v>51</v>
      </c>
    </row>
    <row r="50" spans="1:8" s="41" customFormat="1" x14ac:dyDescent="0.4">
      <c r="A50" s="39"/>
      <c r="B50" s="39"/>
      <c r="C50" s="39"/>
      <c r="D50" s="39"/>
      <c r="E50" s="56">
        <f>DATE(1988,6,20)</f>
        <v>32314</v>
      </c>
      <c r="F50" s="40" t="s">
        <v>294</v>
      </c>
      <c r="G50" s="39">
        <v>2</v>
      </c>
      <c r="H50" s="41">
        <v>51</v>
      </c>
    </row>
    <row r="51" spans="1:8" s="41" customFormat="1" x14ac:dyDescent="0.4">
      <c r="A51" s="39"/>
      <c r="B51" s="39"/>
      <c r="C51" s="39"/>
      <c r="D51" s="39"/>
      <c r="E51" s="56">
        <f>DATE(1988,6,21)</f>
        <v>32315</v>
      </c>
      <c r="F51" s="40" t="s">
        <v>294</v>
      </c>
      <c r="G51" s="39">
        <v>5</v>
      </c>
      <c r="H51" s="41">
        <v>51</v>
      </c>
    </row>
    <row r="52" spans="1:8" s="41" customFormat="1" x14ac:dyDescent="0.4">
      <c r="A52" s="39"/>
      <c r="B52" s="39"/>
      <c r="C52" s="39"/>
      <c r="D52" s="39"/>
      <c r="E52" s="56">
        <f>DATE(1988,6,22)</f>
        <v>32316</v>
      </c>
      <c r="F52" s="40" t="s">
        <v>294</v>
      </c>
      <c r="G52" s="39">
        <v>5</v>
      </c>
      <c r="H52" s="41">
        <v>51</v>
      </c>
    </row>
    <row r="53" spans="1:8" s="41" customFormat="1" x14ac:dyDescent="0.4">
      <c r="A53" s="39"/>
      <c r="B53" s="39"/>
      <c r="C53" s="39"/>
      <c r="D53" s="39"/>
      <c r="E53" s="56">
        <f>DATE(1988,6,23)</f>
        <v>32317</v>
      </c>
      <c r="F53" s="40" t="s">
        <v>294</v>
      </c>
      <c r="G53" s="39">
        <v>4</v>
      </c>
      <c r="H53" s="41">
        <v>51</v>
      </c>
    </row>
    <row r="54" spans="1:8" s="41" customFormat="1" x14ac:dyDescent="0.4">
      <c r="A54" s="39"/>
      <c r="B54" s="39"/>
      <c r="C54" s="39"/>
      <c r="D54" s="39"/>
      <c r="E54" s="56">
        <f>DATE(1988,6,24)</f>
        <v>32318</v>
      </c>
      <c r="F54" s="40" t="s">
        <v>294</v>
      </c>
      <c r="G54" s="39">
        <v>4</v>
      </c>
      <c r="H54" s="41">
        <v>51</v>
      </c>
    </row>
    <row r="55" spans="1:8" s="41" customFormat="1" x14ac:dyDescent="0.4">
      <c r="A55" s="39"/>
      <c r="B55" s="39"/>
      <c r="C55" s="39"/>
      <c r="D55" s="39"/>
      <c r="E55" s="56">
        <f>DATE(1988,6,26)</f>
        <v>32320</v>
      </c>
      <c r="F55" s="40" t="s">
        <v>294</v>
      </c>
      <c r="G55" s="39">
        <v>4</v>
      </c>
      <c r="H55" s="41">
        <v>51</v>
      </c>
    </row>
    <row r="56" spans="1:8" s="44" customFormat="1" x14ac:dyDescent="0.4">
      <c r="A56" s="42">
        <v>30</v>
      </c>
      <c r="B56" s="42" t="s">
        <v>254</v>
      </c>
      <c r="C56" s="42" t="s">
        <v>208</v>
      </c>
      <c r="D56" s="42"/>
      <c r="E56" s="60" t="s">
        <v>311</v>
      </c>
      <c r="F56" s="43" t="s">
        <v>294</v>
      </c>
      <c r="G56" s="42">
        <v>1</v>
      </c>
      <c r="H56" s="44">
        <v>51</v>
      </c>
    </row>
    <row r="57" spans="1:8" s="44" customFormat="1" x14ac:dyDescent="0.4">
      <c r="A57" s="42"/>
      <c r="B57" s="42" t="s">
        <v>112</v>
      </c>
      <c r="C57" s="42" t="s">
        <v>113</v>
      </c>
      <c r="D57" s="42"/>
      <c r="E57" s="60">
        <f>DATE(1988,7,12)</f>
        <v>32336</v>
      </c>
      <c r="F57" s="43" t="s">
        <v>294</v>
      </c>
      <c r="G57" s="42">
        <v>1</v>
      </c>
      <c r="H57" s="44">
        <v>51</v>
      </c>
    </row>
    <row r="58" spans="1:8" s="44" customFormat="1" x14ac:dyDescent="0.4">
      <c r="A58" s="42"/>
      <c r="B58" s="42"/>
      <c r="C58" s="42"/>
      <c r="D58" s="42"/>
      <c r="E58" s="60">
        <f>DATE(1988,7,30)</f>
        <v>32354</v>
      </c>
      <c r="F58" s="43" t="s">
        <v>294</v>
      </c>
      <c r="G58" s="42">
        <v>1</v>
      </c>
      <c r="H58" s="44">
        <v>51</v>
      </c>
    </row>
    <row r="59" spans="1:8" s="41" customFormat="1" x14ac:dyDescent="0.4">
      <c r="A59" s="41">
        <v>31</v>
      </c>
      <c r="B59" s="39" t="s">
        <v>254</v>
      </c>
      <c r="C59" s="41" t="s">
        <v>208</v>
      </c>
      <c r="E59" s="61" t="s">
        <v>312</v>
      </c>
      <c r="F59" s="82" t="s">
        <v>294</v>
      </c>
      <c r="G59" s="41">
        <v>1</v>
      </c>
      <c r="H59" s="41">
        <v>51</v>
      </c>
    </row>
    <row r="60" spans="1:8" s="41" customFormat="1" x14ac:dyDescent="0.4">
      <c r="B60" s="39" t="s">
        <v>112</v>
      </c>
      <c r="C60" s="41" t="s">
        <v>113</v>
      </c>
      <c r="E60" s="62">
        <f>DATE(1988,8,15)</f>
        <v>32370</v>
      </c>
      <c r="F60" s="82" t="s">
        <v>294</v>
      </c>
      <c r="G60" s="41">
        <v>2</v>
      </c>
      <c r="H60" s="41">
        <v>51</v>
      </c>
    </row>
    <row r="61" spans="1:8" s="41" customFormat="1" x14ac:dyDescent="0.4">
      <c r="B61" s="39"/>
      <c r="E61" s="62">
        <f>DATE(1988,8,19)</f>
        <v>32374</v>
      </c>
      <c r="F61" s="82" t="s">
        <v>294</v>
      </c>
      <c r="G61" s="41">
        <v>1</v>
      </c>
      <c r="H61" s="41">
        <v>51</v>
      </c>
    </row>
    <row r="62" spans="1:8" s="44" customFormat="1" x14ac:dyDescent="0.4">
      <c r="A62" s="42">
        <v>32</v>
      </c>
      <c r="B62" s="42" t="s">
        <v>254</v>
      </c>
      <c r="C62" s="42" t="s">
        <v>77</v>
      </c>
      <c r="D62" s="42"/>
      <c r="E62" s="60" t="s">
        <v>313</v>
      </c>
      <c r="F62" s="43" t="s">
        <v>51</v>
      </c>
      <c r="G62" s="42">
        <v>1</v>
      </c>
      <c r="H62" s="44">
        <v>52</v>
      </c>
    </row>
    <row r="63" spans="1:8" s="44" customFormat="1" x14ac:dyDescent="0.4">
      <c r="A63" s="42"/>
      <c r="B63" s="42" t="s">
        <v>147</v>
      </c>
      <c r="C63" s="42" t="s">
        <v>75</v>
      </c>
      <c r="D63" s="42"/>
      <c r="E63" s="60">
        <f>DATE(1994,1,1)</f>
        <v>34335</v>
      </c>
      <c r="F63" s="43" t="s">
        <v>51</v>
      </c>
      <c r="G63" s="42">
        <v>13</v>
      </c>
      <c r="H63" s="44">
        <v>52</v>
      </c>
    </row>
    <row r="64" spans="1:8" s="44" customFormat="1" x14ac:dyDescent="0.4">
      <c r="A64" s="42"/>
      <c r="B64" s="42"/>
      <c r="C64" s="42"/>
      <c r="D64" s="42"/>
      <c r="E64" s="60">
        <f>DATE(1994,1,2)</f>
        <v>34336</v>
      </c>
      <c r="F64" s="43" t="s">
        <v>51</v>
      </c>
      <c r="G64" s="42">
        <v>12</v>
      </c>
      <c r="H64" s="44">
        <v>52</v>
      </c>
    </row>
    <row r="65" spans="1:8" s="44" customFormat="1" x14ac:dyDescent="0.4">
      <c r="A65" s="42"/>
      <c r="B65" s="42"/>
      <c r="C65" s="42"/>
      <c r="D65" s="42"/>
      <c r="E65" s="60">
        <f>DATE(1994,1,3)</f>
        <v>34337</v>
      </c>
      <c r="F65" s="43" t="s">
        <v>51</v>
      </c>
      <c r="G65" s="42">
        <v>1</v>
      </c>
      <c r="H65" s="44">
        <v>52</v>
      </c>
    </row>
    <row r="66" spans="1:8" s="41" customFormat="1" x14ac:dyDescent="0.4">
      <c r="A66" s="41">
        <v>33</v>
      </c>
      <c r="B66" s="39" t="s">
        <v>112</v>
      </c>
      <c r="C66" s="41" t="s">
        <v>113</v>
      </c>
      <c r="E66" s="61">
        <f>DATE(1994,2,6)</f>
        <v>34371</v>
      </c>
      <c r="F66" s="82" t="s">
        <v>51</v>
      </c>
      <c r="G66" s="41">
        <v>6</v>
      </c>
      <c r="H66" s="41">
        <v>52</v>
      </c>
    </row>
    <row r="67" spans="1:8" s="41" customFormat="1" x14ac:dyDescent="0.4">
      <c r="B67" s="39"/>
      <c r="E67" s="61">
        <f>DATE(1994,2,7)</f>
        <v>34372</v>
      </c>
      <c r="F67" s="82" t="s">
        <v>51</v>
      </c>
      <c r="G67" s="41">
        <v>1</v>
      </c>
      <c r="H67" s="41">
        <v>52</v>
      </c>
    </row>
    <row r="68" spans="1:8" s="44" customFormat="1" x14ac:dyDescent="0.4">
      <c r="A68" s="42">
        <v>34</v>
      </c>
      <c r="B68" s="42" t="s">
        <v>112</v>
      </c>
      <c r="C68" s="42" t="s">
        <v>113</v>
      </c>
      <c r="D68" s="42"/>
      <c r="E68" s="60">
        <f>DATE(1994,3,28)</f>
        <v>34421</v>
      </c>
      <c r="F68" s="43" t="s">
        <v>51</v>
      </c>
      <c r="G68" s="42">
        <v>11</v>
      </c>
      <c r="H68" s="44">
        <v>52</v>
      </c>
    </row>
    <row r="69" spans="1:8" s="44" customFormat="1" x14ac:dyDescent="0.4">
      <c r="A69" s="42"/>
      <c r="B69" s="42"/>
      <c r="C69" s="42"/>
      <c r="D69" s="42"/>
      <c r="E69" s="60">
        <f>DATE(1994,3,29)</f>
        <v>34422</v>
      </c>
      <c r="F69" s="43" t="s">
        <v>51</v>
      </c>
      <c r="G69" s="42">
        <v>10</v>
      </c>
      <c r="H69" s="44">
        <v>52</v>
      </c>
    </row>
    <row r="70" spans="1:8" s="44" customFormat="1" x14ac:dyDescent="0.4">
      <c r="A70" s="42"/>
      <c r="B70" s="42"/>
      <c r="C70" s="42"/>
      <c r="D70" s="42"/>
      <c r="E70" s="60">
        <f>DATE(1994,3,30)</f>
        <v>34423</v>
      </c>
      <c r="F70" s="43" t="s">
        <v>51</v>
      </c>
      <c r="G70" s="42">
        <v>11</v>
      </c>
      <c r="H70" s="44">
        <v>52</v>
      </c>
    </row>
    <row r="71" spans="1:8" s="44" customFormat="1" x14ac:dyDescent="0.4">
      <c r="A71" s="42"/>
      <c r="B71" s="42"/>
      <c r="C71" s="42"/>
      <c r="D71" s="42"/>
      <c r="E71" s="60">
        <f>DATE(1994,3,31)</f>
        <v>34424</v>
      </c>
      <c r="F71" s="43" t="s">
        <v>51</v>
      </c>
      <c r="G71" s="42">
        <v>10</v>
      </c>
      <c r="H71" s="44">
        <v>52</v>
      </c>
    </row>
    <row r="72" spans="1:8" s="41" customFormat="1" x14ac:dyDescent="0.4">
      <c r="A72" s="39">
        <v>35</v>
      </c>
      <c r="B72" s="39" t="s">
        <v>112</v>
      </c>
      <c r="C72" s="39" t="s">
        <v>113</v>
      </c>
      <c r="D72" s="39"/>
      <c r="E72" s="56">
        <f>DATE(1994,6,4)</f>
        <v>34489</v>
      </c>
      <c r="F72" s="40" t="s">
        <v>51</v>
      </c>
      <c r="G72" s="39">
        <v>9</v>
      </c>
      <c r="H72" s="41">
        <v>52</v>
      </c>
    </row>
    <row r="73" spans="1:8" s="41" customFormat="1" x14ac:dyDescent="0.4">
      <c r="A73" s="39"/>
      <c r="B73" s="39"/>
      <c r="C73" s="39"/>
      <c r="D73" s="39"/>
      <c r="E73" s="56">
        <f>DATE(1994,6,5)</f>
        <v>34490</v>
      </c>
      <c r="F73" s="40" t="s">
        <v>51</v>
      </c>
      <c r="G73" s="39">
        <v>8</v>
      </c>
      <c r="H73" s="41">
        <v>52</v>
      </c>
    </row>
    <row r="74" spans="1:8" s="41" customFormat="1" x14ac:dyDescent="0.4">
      <c r="A74" s="39"/>
      <c r="B74" s="39"/>
      <c r="C74" s="39"/>
      <c r="D74" s="39"/>
      <c r="E74" s="56">
        <f>DATE(1994,6,6)</f>
        <v>34491</v>
      </c>
      <c r="F74" s="40" t="s">
        <v>51</v>
      </c>
      <c r="G74" s="39">
        <v>8</v>
      </c>
      <c r="H74" s="41">
        <v>52</v>
      </c>
    </row>
    <row r="75" spans="1:8" s="41" customFormat="1" x14ac:dyDescent="0.4">
      <c r="A75" s="39"/>
      <c r="B75" s="39"/>
      <c r="C75" s="39"/>
      <c r="D75" s="39"/>
      <c r="E75" s="56">
        <f>DATE(1994,6,7)</f>
        <v>34492</v>
      </c>
      <c r="F75" s="40" t="s">
        <v>51</v>
      </c>
      <c r="G75" s="39">
        <v>1</v>
      </c>
      <c r="H75" s="41">
        <v>52</v>
      </c>
    </row>
    <row r="76" spans="1:8" s="41" customFormat="1" x14ac:dyDescent="0.4">
      <c r="A76" s="39"/>
      <c r="B76" s="39"/>
      <c r="C76" s="39"/>
      <c r="D76" s="39"/>
      <c r="E76" s="56">
        <f>DATE(1994,6,22)</f>
        <v>34507</v>
      </c>
      <c r="F76" s="40" t="s">
        <v>51</v>
      </c>
      <c r="G76" s="39">
        <v>5</v>
      </c>
      <c r="H76" s="41">
        <v>52</v>
      </c>
    </row>
    <row r="77" spans="1:8" s="41" customFormat="1" x14ac:dyDescent="0.4">
      <c r="A77" s="39"/>
      <c r="B77" s="39"/>
      <c r="C77" s="39"/>
      <c r="D77" s="39"/>
      <c r="E77" s="56">
        <f>DATE(1994,6,23)</f>
        <v>34508</v>
      </c>
      <c r="F77" s="40" t="s">
        <v>51</v>
      </c>
      <c r="G77" s="39">
        <v>13</v>
      </c>
      <c r="H77" s="41">
        <v>52</v>
      </c>
    </row>
    <row r="78" spans="1:8" s="41" customFormat="1" x14ac:dyDescent="0.4">
      <c r="A78" s="39"/>
      <c r="B78" s="39"/>
      <c r="C78" s="39"/>
      <c r="D78" s="39"/>
      <c r="E78" s="56">
        <f>DATE(1994,6,24)</f>
        <v>34509</v>
      </c>
      <c r="F78" s="40" t="s">
        <v>51</v>
      </c>
      <c r="G78" s="39">
        <v>18</v>
      </c>
      <c r="H78" s="41">
        <v>52</v>
      </c>
    </row>
    <row r="79" spans="1:8" s="41" customFormat="1" x14ac:dyDescent="0.4">
      <c r="A79" s="39"/>
      <c r="B79" s="39"/>
      <c r="C79" s="39"/>
      <c r="D79" s="39"/>
      <c r="E79" s="56">
        <f>DATE(1994,6,25)</f>
        <v>34510</v>
      </c>
      <c r="F79" s="40" t="s">
        <v>51</v>
      </c>
      <c r="G79" s="39">
        <v>10</v>
      </c>
      <c r="H79" s="41">
        <v>52</v>
      </c>
    </row>
    <row r="80" spans="1:8" s="41" customFormat="1" x14ac:dyDescent="0.4">
      <c r="A80" s="39"/>
      <c r="B80" s="39"/>
      <c r="C80" s="39"/>
      <c r="D80" s="39"/>
      <c r="E80" s="56">
        <f>DATE(1994,6,26)</f>
        <v>34511</v>
      </c>
      <c r="F80" s="40" t="s">
        <v>51</v>
      </c>
      <c r="G80" s="39">
        <v>10</v>
      </c>
      <c r="H80" s="41">
        <v>52</v>
      </c>
    </row>
    <row r="81" spans="1:8" s="41" customFormat="1" x14ac:dyDescent="0.4">
      <c r="A81" s="39"/>
      <c r="B81" s="39"/>
      <c r="C81" s="39"/>
      <c r="D81" s="39"/>
      <c r="E81" s="56">
        <f>DATE(1994,6,27)</f>
        <v>34512</v>
      </c>
      <c r="F81" s="40" t="s">
        <v>51</v>
      </c>
      <c r="G81" s="39">
        <v>11</v>
      </c>
      <c r="H81" s="41">
        <v>52</v>
      </c>
    </row>
    <row r="82" spans="1:8" s="41" customFormat="1" x14ac:dyDescent="0.4">
      <c r="A82" s="39"/>
      <c r="B82" s="39"/>
      <c r="C82" s="39"/>
      <c r="D82" s="39"/>
      <c r="E82" s="56">
        <f>DATE(1994,6,28)</f>
        <v>34513</v>
      </c>
      <c r="F82" s="40" t="s">
        <v>51</v>
      </c>
      <c r="G82" s="39">
        <v>8</v>
      </c>
      <c r="H82" s="41">
        <v>52</v>
      </c>
    </row>
    <row r="83" spans="1:8" s="41" customFormat="1" x14ac:dyDescent="0.4">
      <c r="A83" s="39"/>
      <c r="B83" s="39"/>
      <c r="C83" s="39"/>
      <c r="D83" s="39"/>
      <c r="E83" s="56">
        <f>DATE(1994,6,30)</f>
        <v>34515</v>
      </c>
      <c r="F83" s="40" t="s">
        <v>51</v>
      </c>
      <c r="G83" s="39">
        <v>7</v>
      </c>
      <c r="H83" s="41">
        <v>52</v>
      </c>
    </row>
    <row r="84" spans="1:8" s="44" customFormat="1" x14ac:dyDescent="0.4">
      <c r="A84" s="42">
        <v>36</v>
      </c>
      <c r="B84" s="42" t="s">
        <v>112</v>
      </c>
      <c r="C84" s="42" t="s">
        <v>113</v>
      </c>
      <c r="D84" s="42"/>
      <c r="E84" s="60">
        <f>DATE(1994,7,8)</f>
        <v>34523</v>
      </c>
      <c r="F84" s="43" t="s">
        <v>51</v>
      </c>
      <c r="G84" s="42">
        <v>4</v>
      </c>
      <c r="H84" s="44">
        <v>52</v>
      </c>
    </row>
    <row r="85" spans="1:8" s="44" customFormat="1" x14ac:dyDescent="0.4">
      <c r="A85" s="42"/>
      <c r="B85" s="42"/>
      <c r="C85" s="42"/>
      <c r="D85" s="42"/>
      <c r="E85" s="60">
        <f>DATE(1994,7,9)</f>
        <v>34524</v>
      </c>
      <c r="F85" s="43" t="s">
        <v>51</v>
      </c>
      <c r="G85" s="42">
        <v>10</v>
      </c>
      <c r="H85" s="44">
        <v>52</v>
      </c>
    </row>
    <row r="86" spans="1:8" s="44" customFormat="1" x14ac:dyDescent="0.4">
      <c r="A86" s="42"/>
      <c r="B86" s="42"/>
      <c r="C86" s="42"/>
      <c r="D86" s="42"/>
      <c r="E86" s="60">
        <f>DATE(1994,7,10)</f>
        <v>34525</v>
      </c>
      <c r="F86" s="43" t="s">
        <v>51</v>
      </c>
      <c r="G86" s="42">
        <v>12</v>
      </c>
      <c r="H86" s="44">
        <v>52</v>
      </c>
    </row>
    <row r="87" spans="1:8" s="44" customFormat="1" x14ac:dyDescent="0.4">
      <c r="A87" s="42"/>
      <c r="B87" s="42"/>
      <c r="C87" s="42"/>
      <c r="D87" s="42"/>
      <c r="E87" s="60">
        <f>DATE(1994,7,11)</f>
        <v>34526</v>
      </c>
      <c r="F87" s="43" t="s">
        <v>51</v>
      </c>
      <c r="G87" s="42">
        <v>7</v>
      </c>
      <c r="H87" s="44">
        <v>52</v>
      </c>
    </row>
    <row r="88" spans="1:8" s="44" customFormat="1" x14ac:dyDescent="0.4">
      <c r="A88" s="42"/>
      <c r="B88" s="42"/>
      <c r="C88" s="42"/>
      <c r="D88" s="42"/>
      <c r="E88" s="60">
        <f>DATE(1994,7,20)</f>
        <v>34535</v>
      </c>
      <c r="F88" s="43" t="s">
        <v>51</v>
      </c>
      <c r="G88" s="42">
        <v>18</v>
      </c>
      <c r="H88" s="44">
        <v>52</v>
      </c>
    </row>
    <row r="89" spans="1:8" s="44" customFormat="1" x14ac:dyDescent="0.4">
      <c r="A89" s="42"/>
      <c r="B89" s="42"/>
      <c r="C89" s="42"/>
      <c r="D89" s="42"/>
      <c r="E89" s="60">
        <f>DATE(1994,7,21)</f>
        <v>34536</v>
      </c>
      <c r="F89" s="43" t="s">
        <v>51</v>
      </c>
      <c r="G89" s="42">
        <v>18</v>
      </c>
      <c r="H89" s="44">
        <v>52</v>
      </c>
    </row>
    <row r="90" spans="1:8" s="44" customFormat="1" x14ac:dyDescent="0.4">
      <c r="A90" s="42"/>
      <c r="B90" s="42"/>
      <c r="C90" s="42"/>
      <c r="D90" s="42"/>
      <c r="E90" s="60">
        <f>DATE(1994,7,22)</f>
        <v>34537</v>
      </c>
      <c r="F90" s="43" t="s">
        <v>51</v>
      </c>
      <c r="G90" s="42">
        <v>10</v>
      </c>
      <c r="H90" s="44">
        <v>52</v>
      </c>
    </row>
    <row r="91" spans="1:8" s="44" customFormat="1" x14ac:dyDescent="0.4">
      <c r="A91" s="42"/>
      <c r="B91" s="42"/>
      <c r="C91" s="42"/>
      <c r="D91" s="42"/>
      <c r="E91" s="60">
        <f>DATE(1994,7,23)</f>
        <v>34538</v>
      </c>
      <c r="F91" s="43" t="s">
        <v>51</v>
      </c>
      <c r="G91" s="42">
        <v>4</v>
      </c>
      <c r="H91" s="44">
        <v>52</v>
      </c>
    </row>
    <row r="92" spans="1:8" s="44" customFormat="1" x14ac:dyDescent="0.4">
      <c r="A92" s="42"/>
      <c r="B92" s="42"/>
      <c r="C92" s="42"/>
      <c r="D92" s="42"/>
      <c r="E92" s="60">
        <f>DATE(1994,7,24)</f>
        <v>34539</v>
      </c>
      <c r="F92" s="43" t="s">
        <v>51</v>
      </c>
      <c r="G92" s="42">
        <v>5</v>
      </c>
      <c r="H92" s="44">
        <v>52</v>
      </c>
    </row>
    <row r="93" spans="1:8" s="44" customFormat="1" x14ac:dyDescent="0.4">
      <c r="A93" s="42"/>
      <c r="B93" s="42"/>
      <c r="C93" s="42"/>
      <c r="D93" s="42"/>
      <c r="E93" s="60">
        <f>DATE(1994,7,25)</f>
        <v>34540</v>
      </c>
      <c r="F93" s="43" t="s">
        <v>51</v>
      </c>
      <c r="G93" s="42">
        <v>14</v>
      </c>
      <c r="H93" s="44">
        <v>52</v>
      </c>
    </row>
    <row r="94" spans="1:8" s="44" customFormat="1" x14ac:dyDescent="0.4">
      <c r="A94" s="42"/>
      <c r="B94" s="42"/>
      <c r="C94" s="42"/>
      <c r="D94" s="42"/>
      <c r="E94" s="60">
        <f>DATE(1994,7,26)</f>
        <v>34541</v>
      </c>
      <c r="F94" s="43" t="s">
        <v>51</v>
      </c>
      <c r="G94" s="42">
        <v>13</v>
      </c>
      <c r="H94" s="44">
        <v>52</v>
      </c>
    </row>
    <row r="95" spans="1:8" s="44" customFormat="1" x14ac:dyDescent="0.4">
      <c r="A95" s="42"/>
      <c r="B95" s="42"/>
      <c r="C95" s="42"/>
      <c r="D95" s="42"/>
      <c r="E95" s="60">
        <f>DATE(1994,7,27)</f>
        <v>34542</v>
      </c>
      <c r="F95" s="43" t="s">
        <v>51</v>
      </c>
      <c r="G95" s="42">
        <v>17</v>
      </c>
      <c r="H95" s="44">
        <v>52</v>
      </c>
    </row>
    <row r="96" spans="1:8" s="44" customFormat="1" x14ac:dyDescent="0.4">
      <c r="A96" s="42"/>
      <c r="B96" s="42"/>
      <c r="C96" s="42"/>
      <c r="D96" s="42"/>
      <c r="E96" s="60">
        <f>DATE(1994,7,28)</f>
        <v>34543</v>
      </c>
      <c r="F96" s="43" t="s">
        <v>51</v>
      </c>
      <c r="G96" s="42">
        <v>10</v>
      </c>
      <c r="H96" s="44">
        <v>52</v>
      </c>
    </row>
    <row r="97" spans="1:8" s="44" customFormat="1" x14ac:dyDescent="0.4">
      <c r="A97" s="42"/>
      <c r="B97" s="42"/>
      <c r="C97" s="42"/>
      <c r="D97" s="42"/>
      <c r="E97" s="60">
        <f>DATE(1994,7,29)</f>
        <v>34544</v>
      </c>
      <c r="F97" s="43" t="s">
        <v>51</v>
      </c>
      <c r="G97" s="42">
        <v>21</v>
      </c>
      <c r="H97" s="44">
        <v>52</v>
      </c>
    </row>
    <row r="98" spans="1:8" s="44" customFormat="1" x14ac:dyDescent="0.4">
      <c r="A98" s="42"/>
      <c r="B98" s="42"/>
      <c r="C98" s="42"/>
      <c r="D98" s="42"/>
      <c r="E98" s="60">
        <f>DATE(1994,7,30)</f>
        <v>34545</v>
      </c>
      <c r="F98" s="43" t="s">
        <v>51</v>
      </c>
      <c r="G98" s="42">
        <v>10</v>
      </c>
      <c r="H98" s="44">
        <v>52</v>
      </c>
    </row>
    <row r="99" spans="1:8" s="41" customFormat="1" x14ac:dyDescent="0.4">
      <c r="A99" s="41">
        <v>37</v>
      </c>
      <c r="B99" s="39" t="s">
        <v>112</v>
      </c>
      <c r="C99" s="41" t="s">
        <v>113</v>
      </c>
      <c r="E99" s="61">
        <f>DATE(1994,8,4)</f>
        <v>34550</v>
      </c>
      <c r="F99" s="82" t="s">
        <v>51</v>
      </c>
      <c r="G99" s="41">
        <v>11</v>
      </c>
      <c r="H99" s="41">
        <v>52</v>
      </c>
    </row>
    <row r="100" spans="1:8" s="41" customFormat="1" x14ac:dyDescent="0.4">
      <c r="B100" s="39"/>
      <c r="E100" s="61">
        <f>DATE(1994,8,5)</f>
        <v>34551</v>
      </c>
      <c r="F100" s="82" t="s">
        <v>51</v>
      </c>
      <c r="G100" s="41">
        <v>18</v>
      </c>
      <c r="H100" s="41">
        <v>52</v>
      </c>
    </row>
    <row r="101" spans="1:8" s="41" customFormat="1" x14ac:dyDescent="0.4">
      <c r="B101" s="39"/>
      <c r="E101" s="61">
        <f>DATE(1994,8,6)</f>
        <v>34552</v>
      </c>
      <c r="F101" s="82" t="s">
        <v>51</v>
      </c>
      <c r="G101" s="41">
        <v>12</v>
      </c>
      <c r="H101" s="41">
        <v>52</v>
      </c>
    </row>
    <row r="102" spans="1:8" s="41" customFormat="1" x14ac:dyDescent="0.4">
      <c r="B102" s="39"/>
      <c r="E102" s="61">
        <f>DATE(1994,8,7)</f>
        <v>34553</v>
      </c>
      <c r="F102" s="82" t="s">
        <v>51</v>
      </c>
      <c r="G102" s="41">
        <v>7</v>
      </c>
      <c r="H102" s="41">
        <v>52</v>
      </c>
    </row>
    <row r="103" spans="1:8" s="41" customFormat="1" x14ac:dyDescent="0.4">
      <c r="B103" s="39"/>
      <c r="E103" s="61">
        <f>DATE(1994,8,8)</f>
        <v>34554</v>
      </c>
      <c r="F103" s="82" t="s">
        <v>51</v>
      </c>
      <c r="G103" s="41">
        <v>12</v>
      </c>
      <c r="H103" s="41">
        <v>52</v>
      </c>
    </row>
    <row r="104" spans="1:8" s="41" customFormat="1" x14ac:dyDescent="0.4">
      <c r="A104" s="39"/>
      <c r="B104" s="39"/>
      <c r="C104" s="39"/>
      <c r="D104" s="39"/>
      <c r="E104" s="61">
        <f>DATE(1994,8,9)</f>
        <v>34555</v>
      </c>
      <c r="F104" s="82" t="s">
        <v>51</v>
      </c>
      <c r="G104" s="39">
        <v>10</v>
      </c>
      <c r="H104" s="41">
        <v>52</v>
      </c>
    </row>
    <row r="105" spans="1:8" s="41" customFormat="1" x14ac:dyDescent="0.4">
      <c r="A105" s="39"/>
      <c r="B105" s="39"/>
      <c r="C105" s="39"/>
      <c r="D105" s="39"/>
      <c r="E105" s="61">
        <f>DATE(1994,8,10)</f>
        <v>34556</v>
      </c>
      <c r="F105" s="82" t="s">
        <v>51</v>
      </c>
      <c r="G105" s="39">
        <v>20</v>
      </c>
      <c r="H105" s="41">
        <v>52</v>
      </c>
    </row>
    <row r="106" spans="1:8" s="41" customFormat="1" x14ac:dyDescent="0.4">
      <c r="A106" s="39"/>
      <c r="B106" s="39"/>
      <c r="C106" s="39"/>
      <c r="D106" s="39"/>
      <c r="E106" s="61">
        <f>DATE(1994,8,11)</f>
        <v>34557</v>
      </c>
      <c r="F106" s="82" t="s">
        <v>51</v>
      </c>
      <c r="G106" s="39">
        <v>11</v>
      </c>
      <c r="H106" s="41">
        <v>52</v>
      </c>
    </row>
    <row r="107" spans="1:8" s="41" customFormat="1" x14ac:dyDescent="0.4">
      <c r="A107" s="39"/>
      <c r="B107" s="39"/>
      <c r="C107" s="39"/>
      <c r="D107" s="39"/>
      <c r="E107" s="61">
        <f>DATE(1994,8,12)</f>
        <v>34558</v>
      </c>
      <c r="F107" s="82" t="s">
        <v>51</v>
      </c>
      <c r="G107" s="39">
        <v>7</v>
      </c>
      <c r="H107" s="41">
        <v>52</v>
      </c>
    </row>
    <row r="108" spans="1:8" s="41" customFormat="1" x14ac:dyDescent="0.4">
      <c r="A108" s="39"/>
      <c r="B108" s="39"/>
      <c r="C108" s="39"/>
      <c r="D108" s="39"/>
      <c r="E108" s="61">
        <f>DATE(1994,8,18)</f>
        <v>34564</v>
      </c>
      <c r="F108" s="82" t="s">
        <v>51</v>
      </c>
      <c r="G108" s="39">
        <v>10</v>
      </c>
      <c r="H108" s="41">
        <v>52</v>
      </c>
    </row>
    <row r="109" spans="1:8" s="41" customFormat="1" x14ac:dyDescent="0.4">
      <c r="A109" s="39"/>
      <c r="B109" s="39"/>
      <c r="C109" s="39"/>
      <c r="D109" s="39"/>
      <c r="E109" s="61">
        <f>DATE(1994,8,19)</f>
        <v>34565</v>
      </c>
      <c r="F109" s="82" t="s">
        <v>51</v>
      </c>
      <c r="G109" s="39">
        <v>13</v>
      </c>
      <c r="H109" s="41">
        <v>52</v>
      </c>
    </row>
    <row r="110" spans="1:8" s="41" customFormat="1" x14ac:dyDescent="0.4">
      <c r="A110" s="39"/>
      <c r="B110" s="39"/>
      <c r="C110" s="39"/>
      <c r="D110" s="39"/>
      <c r="E110" s="61">
        <f>DATE(1994,8,20)</f>
        <v>34566</v>
      </c>
      <c r="F110" s="82" t="s">
        <v>51</v>
      </c>
      <c r="G110" s="39">
        <v>11</v>
      </c>
      <c r="H110" s="41">
        <v>52</v>
      </c>
    </row>
    <row r="111" spans="1:8" s="41" customFormat="1" x14ac:dyDescent="0.4">
      <c r="A111" s="39"/>
      <c r="B111" s="39"/>
      <c r="C111" s="39"/>
      <c r="D111" s="39"/>
      <c r="E111" s="61">
        <f>DATE(1994,8,21)</f>
        <v>34567</v>
      </c>
      <c r="F111" s="82" t="s">
        <v>51</v>
      </c>
      <c r="G111" s="39">
        <v>10</v>
      </c>
      <c r="H111" s="41">
        <v>52</v>
      </c>
    </row>
    <row r="112" spans="1:8" s="41" customFormat="1" x14ac:dyDescent="0.4">
      <c r="A112" s="39"/>
      <c r="B112" s="39"/>
      <c r="C112" s="39"/>
      <c r="D112" s="39"/>
      <c r="E112" s="61">
        <f>DATE(1994,8,22)</f>
        <v>34568</v>
      </c>
      <c r="F112" s="82" t="s">
        <v>51</v>
      </c>
      <c r="G112" s="39">
        <v>10</v>
      </c>
      <c r="H112" s="41">
        <v>52</v>
      </c>
    </row>
    <row r="113" spans="1:8" s="41" customFormat="1" x14ac:dyDescent="0.4">
      <c r="A113" s="39"/>
      <c r="B113" s="39"/>
      <c r="C113" s="39"/>
      <c r="D113" s="39"/>
      <c r="E113" s="61">
        <f>DATE(1994,8,23)</f>
        <v>34569</v>
      </c>
      <c r="F113" s="82" t="s">
        <v>51</v>
      </c>
      <c r="G113" s="39">
        <v>11</v>
      </c>
      <c r="H113" s="41">
        <v>52</v>
      </c>
    </row>
    <row r="114" spans="1:8" s="41" customFormat="1" x14ac:dyDescent="0.4">
      <c r="A114" s="39"/>
      <c r="B114" s="39"/>
      <c r="C114" s="39"/>
      <c r="D114" s="39"/>
      <c r="E114" s="61">
        <f>DATE(1994,8,24)</f>
        <v>34570</v>
      </c>
      <c r="F114" s="82" t="s">
        <v>51</v>
      </c>
      <c r="G114" s="39">
        <v>13</v>
      </c>
      <c r="H114" s="41">
        <v>52</v>
      </c>
    </row>
    <row r="115" spans="1:8" s="41" customFormat="1" x14ac:dyDescent="0.4">
      <c r="A115" s="39"/>
      <c r="B115" s="39"/>
      <c r="C115" s="39"/>
      <c r="D115" s="39"/>
      <c r="E115" s="61">
        <f>DATE(1994,8,25)</f>
        <v>34571</v>
      </c>
      <c r="F115" s="82" t="s">
        <v>51</v>
      </c>
      <c r="G115" s="39">
        <v>17</v>
      </c>
      <c r="H115" s="41">
        <v>52</v>
      </c>
    </row>
    <row r="116" spans="1:8" s="41" customFormat="1" x14ac:dyDescent="0.4">
      <c r="A116" s="39"/>
      <c r="B116" s="39"/>
      <c r="C116" s="39"/>
      <c r="D116" s="39"/>
      <c r="E116" s="61">
        <f>DATE(1994,8,26)</f>
        <v>34572</v>
      </c>
      <c r="F116" s="82" t="s">
        <v>51</v>
      </c>
      <c r="G116" s="39">
        <v>39</v>
      </c>
      <c r="H116" s="41">
        <v>52</v>
      </c>
    </row>
    <row r="117" spans="1:8" s="44" customFormat="1" x14ac:dyDescent="0.4">
      <c r="A117" s="42">
        <v>38</v>
      </c>
      <c r="B117" s="42" t="s">
        <v>254</v>
      </c>
      <c r="C117" s="42" t="s">
        <v>208</v>
      </c>
      <c r="D117" s="42"/>
      <c r="E117" s="63" t="s">
        <v>114</v>
      </c>
      <c r="F117" s="43" t="s">
        <v>51</v>
      </c>
      <c r="G117" s="42">
        <v>1</v>
      </c>
      <c r="H117" s="44">
        <v>52</v>
      </c>
    </row>
    <row r="118" spans="1:8" s="44" customFormat="1" x14ac:dyDescent="0.4">
      <c r="A118" s="42"/>
      <c r="B118" s="42" t="s">
        <v>112</v>
      </c>
      <c r="C118" s="42" t="s">
        <v>113</v>
      </c>
      <c r="D118" s="42"/>
      <c r="E118" s="63">
        <f>DATE(1996,3,1)</f>
        <v>35125</v>
      </c>
      <c r="F118" s="43" t="s">
        <v>51</v>
      </c>
      <c r="G118" s="42">
        <v>11</v>
      </c>
      <c r="H118" s="44">
        <v>52</v>
      </c>
    </row>
    <row r="119" spans="1:8" s="44" customFormat="1" x14ac:dyDescent="0.4">
      <c r="A119" s="42"/>
      <c r="B119" s="42"/>
      <c r="C119" s="42"/>
      <c r="D119" s="42"/>
      <c r="E119" s="63">
        <f>DATE(1996,3,2)</f>
        <v>35126</v>
      </c>
      <c r="F119" s="43" t="s">
        <v>51</v>
      </c>
      <c r="G119" s="42">
        <v>8</v>
      </c>
      <c r="H119" s="44">
        <v>52</v>
      </c>
    </row>
    <row r="120" spans="1:8" s="44" customFormat="1" x14ac:dyDescent="0.4">
      <c r="A120" s="42"/>
      <c r="B120" s="42"/>
      <c r="C120" s="42"/>
      <c r="D120" s="42"/>
      <c r="E120" s="63">
        <f>DATE(1996,3,3)</f>
        <v>35127</v>
      </c>
      <c r="F120" s="43" t="s">
        <v>51</v>
      </c>
      <c r="G120" s="42">
        <v>5</v>
      </c>
      <c r="H120" s="44">
        <v>52</v>
      </c>
    </row>
    <row r="121" spans="1:8" s="44" customFormat="1" x14ac:dyDescent="0.4">
      <c r="A121" s="42"/>
      <c r="B121" s="42"/>
      <c r="C121" s="42"/>
      <c r="D121" s="42"/>
      <c r="E121" s="63">
        <f>DATE(1996,3,4)</f>
        <v>35128</v>
      </c>
      <c r="F121" s="43" t="s">
        <v>51</v>
      </c>
      <c r="G121" s="42">
        <v>4</v>
      </c>
      <c r="H121" s="44">
        <v>52</v>
      </c>
    </row>
    <row r="122" spans="1:8" s="44" customFormat="1" x14ac:dyDescent="0.4">
      <c r="A122" s="42"/>
      <c r="B122" s="42"/>
      <c r="C122" s="42"/>
      <c r="D122" s="42"/>
      <c r="E122" s="63">
        <f>DATE(1996,3,5)</f>
        <v>35129</v>
      </c>
      <c r="F122" s="43" t="s">
        <v>51</v>
      </c>
      <c r="G122" s="42">
        <v>16</v>
      </c>
      <c r="H122" s="44">
        <v>52</v>
      </c>
    </row>
    <row r="123" spans="1:8" s="44" customFormat="1" x14ac:dyDescent="0.4">
      <c r="A123" s="42"/>
      <c r="B123" s="42"/>
      <c r="C123" s="42"/>
      <c r="D123" s="42"/>
      <c r="E123" s="63">
        <f>DATE(1996,3,6)</f>
        <v>35130</v>
      </c>
      <c r="F123" s="43" t="s">
        <v>51</v>
      </c>
      <c r="G123" s="42">
        <v>15</v>
      </c>
      <c r="H123" s="44">
        <v>52</v>
      </c>
    </row>
    <row r="124" spans="1:8" s="44" customFormat="1" x14ac:dyDescent="0.4">
      <c r="A124" s="42"/>
      <c r="B124" s="42"/>
      <c r="C124" s="42"/>
      <c r="D124" s="42"/>
      <c r="E124" s="63">
        <f>DATE(1996,3,7)</f>
        <v>35131</v>
      </c>
      <c r="F124" s="43" t="s">
        <v>51</v>
      </c>
      <c r="G124" s="42">
        <v>13</v>
      </c>
      <c r="H124" s="44">
        <v>52</v>
      </c>
    </row>
    <row r="125" spans="1:8" s="44" customFormat="1" x14ac:dyDescent="0.4">
      <c r="A125" s="42"/>
      <c r="B125" s="42"/>
      <c r="C125" s="42"/>
      <c r="D125" s="42"/>
      <c r="E125" s="63">
        <f>DATE(1996,3,8)</f>
        <v>35132</v>
      </c>
      <c r="F125" s="43" t="s">
        <v>51</v>
      </c>
      <c r="G125" s="42">
        <v>15</v>
      </c>
      <c r="H125" s="44">
        <v>52</v>
      </c>
    </row>
    <row r="126" spans="1:8" s="44" customFormat="1" x14ac:dyDescent="0.4">
      <c r="A126" s="42"/>
      <c r="B126" s="42"/>
      <c r="C126" s="42"/>
      <c r="D126" s="42"/>
      <c r="E126" s="63">
        <f>DATE(1996,3,9)</f>
        <v>35133</v>
      </c>
      <c r="F126" s="43" t="s">
        <v>51</v>
      </c>
      <c r="G126" s="42">
        <v>20</v>
      </c>
      <c r="H126" s="44">
        <v>52</v>
      </c>
    </row>
    <row r="127" spans="1:8" s="44" customFormat="1" x14ac:dyDescent="0.4">
      <c r="A127" s="42"/>
      <c r="B127" s="42"/>
      <c r="C127" s="42"/>
      <c r="D127" s="42"/>
      <c r="E127" s="63">
        <f>DATE(1996,3,10)</f>
        <v>35134</v>
      </c>
      <c r="F127" s="43" t="s">
        <v>51</v>
      </c>
      <c r="G127" s="42">
        <v>14</v>
      </c>
      <c r="H127" s="44">
        <v>52</v>
      </c>
    </row>
    <row r="128" spans="1:8" s="44" customFormat="1" x14ac:dyDescent="0.4">
      <c r="A128" s="42"/>
      <c r="B128" s="42"/>
      <c r="C128" s="42"/>
      <c r="D128" s="42"/>
      <c r="E128" s="63">
        <f>DATE(1996,3,11)</f>
        <v>35135</v>
      </c>
      <c r="F128" s="43" t="s">
        <v>51</v>
      </c>
      <c r="G128" s="42">
        <v>8</v>
      </c>
      <c r="H128" s="44">
        <v>52</v>
      </c>
    </row>
    <row r="129" spans="1:8" s="44" customFormat="1" x14ac:dyDescent="0.4">
      <c r="A129" s="42"/>
      <c r="B129" s="42"/>
      <c r="C129" s="42"/>
      <c r="D129" s="42"/>
      <c r="E129" s="63">
        <f>DATE(1996,3,12)</f>
        <v>35136</v>
      </c>
      <c r="F129" s="43" t="s">
        <v>51</v>
      </c>
      <c r="G129" s="42">
        <v>12</v>
      </c>
      <c r="H129" s="44">
        <v>52</v>
      </c>
    </row>
    <row r="130" spans="1:8" s="44" customFormat="1" x14ac:dyDescent="0.4">
      <c r="A130" s="42"/>
      <c r="B130" s="42"/>
      <c r="C130" s="42"/>
      <c r="D130" s="42"/>
      <c r="E130" s="63">
        <f>DATE(1996,3,13)</f>
        <v>35137</v>
      </c>
      <c r="F130" s="43" t="s">
        <v>51</v>
      </c>
      <c r="G130" s="42">
        <v>12</v>
      </c>
      <c r="H130" s="44">
        <v>52</v>
      </c>
    </row>
    <row r="131" spans="1:8" s="44" customFormat="1" x14ac:dyDescent="0.4">
      <c r="A131" s="42"/>
      <c r="B131" s="42"/>
      <c r="C131" s="42"/>
      <c r="D131" s="42"/>
      <c r="E131" s="63">
        <f>DATE(1996,3,14)</f>
        <v>35138</v>
      </c>
      <c r="F131" s="43" t="s">
        <v>51</v>
      </c>
      <c r="G131" s="42">
        <v>19</v>
      </c>
      <c r="H131" s="44">
        <v>52</v>
      </c>
    </row>
    <row r="132" spans="1:8" s="44" customFormat="1" x14ac:dyDescent="0.4">
      <c r="A132" s="42"/>
      <c r="B132" s="42"/>
      <c r="C132" s="42"/>
      <c r="D132" s="42"/>
      <c r="E132" s="63">
        <f>DATE(1996,3,15)</f>
        <v>35139</v>
      </c>
      <c r="F132" s="43" t="s">
        <v>51</v>
      </c>
      <c r="G132" s="42">
        <v>15</v>
      </c>
      <c r="H132" s="44">
        <v>52</v>
      </c>
    </row>
    <row r="133" spans="1:8" s="44" customFormat="1" x14ac:dyDescent="0.4">
      <c r="A133" s="42"/>
      <c r="B133" s="42"/>
      <c r="C133" s="42"/>
      <c r="D133" s="42"/>
      <c r="E133" s="63">
        <f>DATE(1996,3,16)</f>
        <v>35140</v>
      </c>
      <c r="F133" s="43" t="s">
        <v>51</v>
      </c>
      <c r="G133" s="42">
        <v>13</v>
      </c>
      <c r="H133" s="44">
        <v>52</v>
      </c>
    </row>
    <row r="134" spans="1:8" s="44" customFormat="1" x14ac:dyDescent="0.4">
      <c r="A134" s="42"/>
      <c r="B134" s="42"/>
      <c r="C134" s="42"/>
      <c r="D134" s="42"/>
      <c r="E134" s="63">
        <f>DATE(1996,3,17)</f>
        <v>35141</v>
      </c>
      <c r="F134" s="43" t="s">
        <v>51</v>
      </c>
      <c r="G134" s="42">
        <v>15</v>
      </c>
      <c r="H134" s="44">
        <v>52</v>
      </c>
    </row>
    <row r="135" spans="1:8" s="44" customFormat="1" x14ac:dyDescent="0.4">
      <c r="A135" s="42"/>
      <c r="B135" s="42"/>
      <c r="C135" s="42"/>
      <c r="D135" s="42"/>
      <c r="E135" s="63">
        <f>DATE(1996,3,18)</f>
        <v>35142</v>
      </c>
      <c r="F135" s="43" t="s">
        <v>51</v>
      </c>
      <c r="G135" s="42">
        <v>11</v>
      </c>
      <c r="H135" s="44">
        <v>52</v>
      </c>
    </row>
    <row r="136" spans="1:8" s="44" customFormat="1" x14ac:dyDescent="0.4">
      <c r="A136" s="42"/>
      <c r="B136" s="42"/>
      <c r="C136" s="42"/>
      <c r="D136" s="42"/>
      <c r="E136" s="63">
        <f>DATE(1996,3,19)</f>
        <v>35143</v>
      </c>
      <c r="F136" s="43" t="s">
        <v>51</v>
      </c>
      <c r="G136" s="42">
        <v>10</v>
      </c>
      <c r="H136" s="44">
        <v>52</v>
      </c>
    </row>
    <row r="137" spans="1:8" s="44" customFormat="1" x14ac:dyDescent="0.4">
      <c r="A137" s="42"/>
      <c r="B137" s="42"/>
      <c r="C137" s="42"/>
      <c r="D137" s="42"/>
      <c r="E137" s="63">
        <f>DATE(1996,3,20)</f>
        <v>35144</v>
      </c>
      <c r="F137" s="43" t="s">
        <v>51</v>
      </c>
      <c r="G137" s="42">
        <v>11</v>
      </c>
      <c r="H137" s="44">
        <v>52</v>
      </c>
    </row>
    <row r="138" spans="1:8" s="44" customFormat="1" x14ac:dyDescent="0.4">
      <c r="A138" s="42"/>
      <c r="B138" s="42"/>
      <c r="C138" s="42"/>
      <c r="D138" s="42"/>
      <c r="E138" s="63">
        <f>DATE(1996,3,21)</f>
        <v>35145</v>
      </c>
      <c r="F138" s="43" t="s">
        <v>51</v>
      </c>
      <c r="G138" s="42">
        <v>17</v>
      </c>
      <c r="H138" s="44">
        <v>52</v>
      </c>
    </row>
    <row r="139" spans="1:8" s="44" customFormat="1" x14ac:dyDescent="0.4">
      <c r="A139" s="42"/>
      <c r="B139" s="42"/>
      <c r="C139" s="42"/>
      <c r="D139" s="42"/>
      <c r="E139" s="63">
        <f>DATE(1996,3,22)</f>
        <v>35146</v>
      </c>
      <c r="F139" s="43" t="s">
        <v>51</v>
      </c>
      <c r="G139" s="42">
        <v>12</v>
      </c>
      <c r="H139" s="44">
        <v>52</v>
      </c>
    </row>
    <row r="140" spans="1:8" s="44" customFormat="1" x14ac:dyDescent="0.4">
      <c r="A140" s="42"/>
      <c r="B140" s="42"/>
      <c r="C140" s="42"/>
      <c r="D140" s="42"/>
      <c r="E140" s="63">
        <f>DATE(1996,3,23)</f>
        <v>35147</v>
      </c>
      <c r="F140" s="43" t="s">
        <v>51</v>
      </c>
      <c r="G140" s="42">
        <v>16</v>
      </c>
      <c r="H140" s="44">
        <v>52</v>
      </c>
    </row>
    <row r="141" spans="1:8" s="44" customFormat="1" x14ac:dyDescent="0.4">
      <c r="A141" s="42"/>
      <c r="B141" s="42"/>
      <c r="C141" s="42"/>
      <c r="D141" s="42"/>
      <c r="E141" s="63">
        <f>DATE(1996,3,24)</f>
        <v>35148</v>
      </c>
      <c r="F141" s="43" t="s">
        <v>51</v>
      </c>
      <c r="G141" s="42">
        <v>8</v>
      </c>
      <c r="H141" s="44">
        <v>52</v>
      </c>
    </row>
    <row r="142" spans="1:8" s="44" customFormat="1" x14ac:dyDescent="0.4">
      <c r="A142" s="42"/>
      <c r="B142" s="42"/>
      <c r="C142" s="42"/>
      <c r="D142" s="42"/>
      <c r="E142" s="63">
        <f>DATE(1996,3,25)</f>
        <v>35149</v>
      </c>
      <c r="F142" s="43" t="s">
        <v>51</v>
      </c>
      <c r="G142" s="42">
        <v>15</v>
      </c>
      <c r="H142" s="44">
        <v>52</v>
      </c>
    </row>
    <row r="143" spans="1:8" s="44" customFormat="1" x14ac:dyDescent="0.4">
      <c r="A143" s="42"/>
      <c r="B143" s="42"/>
      <c r="C143" s="42"/>
      <c r="D143" s="42"/>
      <c r="E143" s="63">
        <f>DATE(1996,3,26)</f>
        <v>35150</v>
      </c>
      <c r="F143" s="43" t="s">
        <v>51</v>
      </c>
      <c r="G143" s="42">
        <v>14</v>
      </c>
      <c r="H143" s="44">
        <v>52</v>
      </c>
    </row>
    <row r="144" spans="1:8" s="44" customFormat="1" x14ac:dyDescent="0.4">
      <c r="A144" s="42"/>
      <c r="B144" s="42"/>
      <c r="C144" s="42"/>
      <c r="D144" s="42"/>
      <c r="E144" s="63">
        <f>DATE(1996,3,27)</f>
        <v>35151</v>
      </c>
      <c r="F144" s="43" t="s">
        <v>51</v>
      </c>
      <c r="G144" s="42">
        <v>9</v>
      </c>
      <c r="H144" s="44">
        <v>52</v>
      </c>
    </row>
    <row r="145" spans="1:8" s="44" customFormat="1" x14ac:dyDescent="0.4">
      <c r="A145" s="42"/>
      <c r="B145" s="42"/>
      <c r="C145" s="42"/>
      <c r="D145" s="42"/>
      <c r="E145" s="63">
        <f>DATE(1996,3,28)</f>
        <v>35152</v>
      </c>
      <c r="F145" s="43" t="s">
        <v>51</v>
      </c>
      <c r="G145" s="42">
        <v>12</v>
      </c>
      <c r="H145" s="44">
        <v>52</v>
      </c>
    </row>
    <row r="146" spans="1:8" s="44" customFormat="1" x14ac:dyDescent="0.4">
      <c r="A146" s="42"/>
      <c r="B146" s="42"/>
      <c r="C146" s="42"/>
      <c r="D146" s="42"/>
      <c r="E146" s="63">
        <f>DATE(1996,3,29)</f>
        <v>35153</v>
      </c>
      <c r="F146" s="43" t="s">
        <v>51</v>
      </c>
      <c r="G146" s="42">
        <v>4</v>
      </c>
      <c r="H146" s="44">
        <v>52</v>
      </c>
    </row>
    <row r="147" spans="1:8" s="44" customFormat="1" x14ac:dyDescent="0.4">
      <c r="A147" s="42"/>
      <c r="B147" s="42"/>
      <c r="C147" s="42"/>
      <c r="D147" s="42"/>
      <c r="E147" s="63">
        <f>DATE(1996,3,30)</f>
        <v>35154</v>
      </c>
      <c r="F147" s="43" t="s">
        <v>51</v>
      </c>
      <c r="G147" s="42">
        <v>3</v>
      </c>
      <c r="H147" s="44">
        <v>52</v>
      </c>
    </row>
    <row r="148" spans="1:8" s="44" customFormat="1" x14ac:dyDescent="0.4">
      <c r="A148" s="42"/>
      <c r="B148" s="42"/>
      <c r="C148" s="42"/>
      <c r="D148" s="42"/>
      <c r="E148" s="63">
        <f>DATE(1996,3,31)</f>
        <v>35155</v>
      </c>
      <c r="F148" s="43" t="s">
        <v>51</v>
      </c>
      <c r="G148" s="42">
        <v>3</v>
      </c>
      <c r="H148" s="44">
        <v>52</v>
      </c>
    </row>
    <row r="149" spans="1:8" s="41" customFormat="1" x14ac:dyDescent="0.4">
      <c r="A149" s="39">
        <v>39</v>
      </c>
      <c r="B149" s="39" t="s">
        <v>112</v>
      </c>
      <c r="C149" s="39" t="s">
        <v>113</v>
      </c>
      <c r="D149" s="39"/>
      <c r="E149" s="61">
        <f>DATE(1996,9,11)</f>
        <v>35319</v>
      </c>
      <c r="F149" s="40" t="s">
        <v>51</v>
      </c>
      <c r="G149" s="39">
        <v>18</v>
      </c>
      <c r="H149" s="41">
        <v>52</v>
      </c>
    </row>
    <row r="150" spans="1:8" s="41" customFormat="1" x14ac:dyDescent="0.4">
      <c r="A150" s="39"/>
      <c r="B150" s="39"/>
      <c r="C150" s="39"/>
      <c r="D150" s="39"/>
      <c r="E150" s="61">
        <f>DATE(1996,9,12)</f>
        <v>35320</v>
      </c>
      <c r="F150" s="40" t="s">
        <v>51</v>
      </c>
      <c r="G150" s="39">
        <v>13</v>
      </c>
      <c r="H150" s="41">
        <v>52</v>
      </c>
    </row>
    <row r="151" spans="1:8" s="41" customFormat="1" x14ac:dyDescent="0.4">
      <c r="A151" s="39"/>
      <c r="B151" s="39"/>
      <c r="C151" s="39"/>
      <c r="D151" s="39"/>
      <c r="E151" s="61">
        <f>DATE(1996,9,13)</f>
        <v>35321</v>
      </c>
      <c r="F151" s="40" t="s">
        <v>51</v>
      </c>
      <c r="G151" s="39">
        <v>10</v>
      </c>
      <c r="H151" s="41">
        <v>52</v>
      </c>
    </row>
    <row r="152" spans="1:8" s="41" customFormat="1" x14ac:dyDescent="0.4">
      <c r="A152" s="39"/>
      <c r="B152" s="39"/>
      <c r="C152" s="39"/>
      <c r="D152" s="39"/>
      <c r="E152" s="61">
        <f>DATE(1996,9,14)</f>
        <v>35322</v>
      </c>
      <c r="F152" s="40" t="s">
        <v>51</v>
      </c>
      <c r="G152" s="39">
        <v>17</v>
      </c>
      <c r="H152" s="41">
        <v>52</v>
      </c>
    </row>
    <row r="153" spans="1:8" s="41" customFormat="1" x14ac:dyDescent="0.4">
      <c r="A153" s="39"/>
      <c r="B153" s="39"/>
      <c r="C153" s="39"/>
      <c r="D153" s="39"/>
      <c r="E153" s="61">
        <f>DATE(1996,9,15)</f>
        <v>35323</v>
      </c>
      <c r="F153" s="40" t="s">
        <v>51</v>
      </c>
      <c r="G153" s="39">
        <v>12</v>
      </c>
      <c r="H153" s="41">
        <v>52</v>
      </c>
    </row>
    <row r="154" spans="1:8" s="41" customFormat="1" x14ac:dyDescent="0.4">
      <c r="A154" s="39"/>
      <c r="B154" s="39"/>
      <c r="C154" s="39"/>
      <c r="D154" s="39"/>
      <c r="E154" s="61">
        <f>DATE(1996,9,16)</f>
        <v>35324</v>
      </c>
      <c r="F154" s="40" t="s">
        <v>51</v>
      </c>
      <c r="G154" s="39">
        <v>13</v>
      </c>
      <c r="H154" s="41">
        <v>52</v>
      </c>
    </row>
    <row r="155" spans="1:8" s="41" customFormat="1" x14ac:dyDescent="0.4">
      <c r="A155" s="39"/>
      <c r="B155" s="39"/>
      <c r="C155" s="39"/>
      <c r="D155" s="39"/>
      <c r="E155" s="61">
        <f>DATE(1996,9,17)</f>
        <v>35325</v>
      </c>
      <c r="F155" s="40" t="s">
        <v>51</v>
      </c>
      <c r="G155" s="39">
        <v>8</v>
      </c>
      <c r="H155" s="41">
        <v>52</v>
      </c>
    </row>
    <row r="156" spans="1:8" s="41" customFormat="1" x14ac:dyDescent="0.4">
      <c r="A156" s="39"/>
      <c r="B156" s="39"/>
      <c r="C156" s="39"/>
      <c r="D156" s="39"/>
      <c r="E156" s="61"/>
      <c r="F156" s="40"/>
      <c r="G156" s="91">
        <f>SUM(G3:G155)</f>
        <v>2526</v>
      </c>
    </row>
    <row r="157" spans="1:8" x14ac:dyDescent="0.4">
      <c r="E157" s="26"/>
      <c r="F157" s="76" t="s">
        <v>118</v>
      </c>
      <c r="G157" s="10"/>
    </row>
    <row r="158" spans="1:8" s="44" customFormat="1" x14ac:dyDescent="0.4">
      <c r="A158" s="42">
        <v>40</v>
      </c>
      <c r="B158" s="42" t="s">
        <v>314</v>
      </c>
      <c r="C158" s="42"/>
      <c r="D158" s="42"/>
      <c r="E158" s="60" t="s">
        <v>315</v>
      </c>
      <c r="F158" s="83">
        <v>2</v>
      </c>
      <c r="G158" s="44" t="s">
        <v>121</v>
      </c>
      <c r="H158" s="44">
        <v>51</v>
      </c>
    </row>
    <row r="159" spans="1:8" s="44" customFormat="1" x14ac:dyDescent="0.4">
      <c r="A159" s="42"/>
      <c r="B159" s="42"/>
      <c r="C159" s="42"/>
      <c r="D159" s="42"/>
      <c r="E159" s="60" t="s">
        <v>316</v>
      </c>
      <c r="F159" s="43">
        <v>2</v>
      </c>
      <c r="G159" s="44" t="s">
        <v>121</v>
      </c>
      <c r="H159" s="44">
        <v>51</v>
      </c>
    </row>
    <row r="160" spans="1:8" s="44" customFormat="1" x14ac:dyDescent="0.4">
      <c r="A160" s="42"/>
      <c r="B160" s="42"/>
      <c r="C160" s="42"/>
      <c r="D160" s="42"/>
      <c r="E160" s="60" t="s">
        <v>317</v>
      </c>
      <c r="F160" s="43">
        <v>3</v>
      </c>
      <c r="G160" s="44" t="s">
        <v>121</v>
      </c>
      <c r="H160" s="44">
        <v>51</v>
      </c>
    </row>
    <row r="161" spans="1:8" s="44" customFormat="1" x14ac:dyDescent="0.4">
      <c r="A161" s="42"/>
      <c r="B161" s="42"/>
      <c r="C161" s="42"/>
      <c r="D161" s="42"/>
      <c r="E161" s="60" t="s">
        <v>318</v>
      </c>
      <c r="F161" s="43">
        <v>3</v>
      </c>
      <c r="G161" s="44" t="s">
        <v>121</v>
      </c>
      <c r="H161" s="44">
        <v>51</v>
      </c>
    </row>
    <row r="162" spans="1:8" s="44" customFormat="1" x14ac:dyDescent="0.4">
      <c r="A162" s="42"/>
      <c r="B162" s="42"/>
      <c r="C162" s="42"/>
      <c r="D162" s="42"/>
      <c r="E162" s="60" t="s">
        <v>319</v>
      </c>
      <c r="F162" s="43">
        <v>4</v>
      </c>
      <c r="G162" s="44" t="s">
        <v>121</v>
      </c>
      <c r="H162" s="44">
        <v>51</v>
      </c>
    </row>
    <row r="163" spans="1:8" s="44" customFormat="1" x14ac:dyDescent="0.4">
      <c r="A163" s="42"/>
      <c r="B163" s="42"/>
      <c r="C163" s="42"/>
      <c r="D163" s="42"/>
      <c r="E163" s="60" t="s">
        <v>320</v>
      </c>
      <c r="F163" s="43">
        <v>6</v>
      </c>
      <c r="G163" s="44" t="s">
        <v>121</v>
      </c>
      <c r="H163" s="44">
        <v>51</v>
      </c>
    </row>
    <row r="164" spans="1:8" s="44" customFormat="1" x14ac:dyDescent="0.4">
      <c r="A164" s="42"/>
      <c r="B164" s="42"/>
      <c r="C164" s="42"/>
      <c r="D164" s="42"/>
      <c r="E164" s="60" t="s">
        <v>321</v>
      </c>
      <c r="F164" s="43">
        <v>2</v>
      </c>
      <c r="G164" s="44" t="s">
        <v>121</v>
      </c>
      <c r="H164" s="44">
        <v>51</v>
      </c>
    </row>
    <row r="165" spans="1:8" s="44" customFormat="1" x14ac:dyDescent="0.4">
      <c r="A165" s="42"/>
      <c r="B165" s="42"/>
      <c r="C165" s="42"/>
      <c r="D165" s="42"/>
      <c r="E165" s="60" t="s">
        <v>322</v>
      </c>
      <c r="F165" s="43">
        <v>3</v>
      </c>
      <c r="G165" s="44" t="s">
        <v>121</v>
      </c>
      <c r="H165" s="44">
        <v>51</v>
      </c>
    </row>
    <row r="166" spans="1:8" s="44" customFormat="1" x14ac:dyDescent="0.4">
      <c r="A166" s="42"/>
      <c r="B166" s="42"/>
      <c r="C166" s="42"/>
      <c r="D166" s="42"/>
      <c r="E166" s="60" t="s">
        <v>323</v>
      </c>
      <c r="F166" s="43">
        <v>5</v>
      </c>
      <c r="G166" s="44" t="s">
        <v>121</v>
      </c>
      <c r="H166" s="44">
        <v>51</v>
      </c>
    </row>
    <row r="167" spans="1:8" s="44" customFormat="1" x14ac:dyDescent="0.4">
      <c r="A167" s="42"/>
      <c r="B167" s="42"/>
      <c r="C167" s="42"/>
      <c r="D167" s="42"/>
      <c r="E167" s="60" t="s">
        <v>324</v>
      </c>
      <c r="F167" s="43">
        <v>2</v>
      </c>
      <c r="G167" s="44" t="s">
        <v>121</v>
      </c>
      <c r="H167" s="44">
        <v>51</v>
      </c>
    </row>
    <row r="168" spans="1:8" s="44" customFormat="1" x14ac:dyDescent="0.4">
      <c r="A168" s="42"/>
      <c r="B168" s="42"/>
      <c r="C168" s="42"/>
      <c r="D168" s="42"/>
      <c r="E168" s="60" t="s">
        <v>325</v>
      </c>
      <c r="F168" s="43">
        <v>1</v>
      </c>
      <c r="G168" s="44" t="s">
        <v>121</v>
      </c>
      <c r="H168" s="44">
        <v>51</v>
      </c>
    </row>
    <row r="169" spans="1:8" s="44" customFormat="1" x14ac:dyDescent="0.4">
      <c r="A169" s="42"/>
      <c r="B169" s="42"/>
      <c r="C169" s="42"/>
      <c r="D169" s="42"/>
      <c r="E169" s="60" t="s">
        <v>326</v>
      </c>
      <c r="F169" s="43">
        <v>1</v>
      </c>
      <c r="G169" s="44" t="s">
        <v>121</v>
      </c>
      <c r="H169" s="44">
        <v>51</v>
      </c>
    </row>
    <row r="170" spans="1:8" s="44" customFormat="1" x14ac:dyDescent="0.4">
      <c r="A170" s="42"/>
      <c r="B170" s="42"/>
      <c r="C170" s="42"/>
      <c r="D170" s="42"/>
      <c r="E170" s="60" t="s">
        <v>327</v>
      </c>
      <c r="F170" s="43">
        <v>1</v>
      </c>
      <c r="G170" s="44" t="s">
        <v>121</v>
      </c>
      <c r="H170" s="44">
        <v>51</v>
      </c>
    </row>
    <row r="171" spans="1:8" s="44" customFormat="1" x14ac:dyDescent="0.4">
      <c r="A171" s="42"/>
      <c r="B171" s="42"/>
      <c r="C171" s="42"/>
      <c r="D171" s="42"/>
      <c r="E171" s="60" t="s">
        <v>328</v>
      </c>
      <c r="F171" s="43">
        <v>1</v>
      </c>
      <c r="G171" s="44" t="s">
        <v>121</v>
      </c>
      <c r="H171" s="44">
        <v>51</v>
      </c>
    </row>
    <row r="172" spans="1:8" s="44" customFormat="1" x14ac:dyDescent="0.4">
      <c r="A172" s="42"/>
      <c r="B172" s="42"/>
      <c r="C172" s="42"/>
      <c r="D172" s="42"/>
      <c r="E172" s="60" t="s">
        <v>329</v>
      </c>
      <c r="F172" s="43">
        <v>2</v>
      </c>
      <c r="G172" s="44" t="s">
        <v>121</v>
      </c>
      <c r="H172" s="44">
        <v>51</v>
      </c>
    </row>
    <row r="173" spans="1:8" s="44" customFormat="1" x14ac:dyDescent="0.4">
      <c r="A173" s="42"/>
      <c r="B173" s="42"/>
      <c r="C173" s="42"/>
      <c r="D173" s="42"/>
      <c r="E173" s="60" t="s">
        <v>330</v>
      </c>
      <c r="F173" s="43">
        <v>3</v>
      </c>
      <c r="G173" s="44" t="s">
        <v>121</v>
      </c>
      <c r="H173" s="44">
        <v>51</v>
      </c>
    </row>
    <row r="174" spans="1:8" s="44" customFormat="1" x14ac:dyDescent="0.4">
      <c r="A174" s="42"/>
      <c r="B174" s="42"/>
      <c r="C174" s="42"/>
      <c r="D174" s="42"/>
      <c r="E174" s="60" t="s">
        <v>331</v>
      </c>
      <c r="F174" s="43">
        <v>2</v>
      </c>
      <c r="G174" s="44" t="s">
        <v>121</v>
      </c>
      <c r="H174" s="44">
        <v>51</v>
      </c>
    </row>
    <row r="175" spans="1:8" s="41" customFormat="1" x14ac:dyDescent="0.4">
      <c r="A175" s="39">
        <v>41</v>
      </c>
      <c r="B175" s="39" t="s">
        <v>119</v>
      </c>
      <c r="C175" s="39"/>
      <c r="D175" s="39"/>
      <c r="E175" s="56" t="s">
        <v>120</v>
      </c>
      <c r="F175" s="40">
        <v>2</v>
      </c>
      <c r="G175" s="39" t="s">
        <v>121</v>
      </c>
      <c r="H175" s="41">
        <v>51</v>
      </c>
    </row>
    <row r="176" spans="1:8" s="41" customFormat="1" x14ac:dyDescent="0.4">
      <c r="A176" s="39"/>
      <c r="B176" s="39"/>
      <c r="C176" s="39"/>
      <c r="D176" s="39"/>
      <c r="E176" s="56" t="s">
        <v>122</v>
      </c>
      <c r="F176" s="40">
        <v>2</v>
      </c>
      <c r="G176" s="39" t="s">
        <v>121</v>
      </c>
      <c r="H176" s="41">
        <v>51</v>
      </c>
    </row>
    <row r="177" spans="1:8" s="41" customFormat="1" x14ac:dyDescent="0.4">
      <c r="A177" s="39"/>
      <c r="B177" s="39"/>
      <c r="C177" s="39"/>
      <c r="D177" s="39"/>
      <c r="E177" s="56" t="s">
        <v>123</v>
      </c>
      <c r="F177" s="40">
        <v>4</v>
      </c>
      <c r="G177" s="39" t="s">
        <v>121</v>
      </c>
      <c r="H177" s="41">
        <v>51</v>
      </c>
    </row>
    <row r="178" spans="1:8" s="41" customFormat="1" x14ac:dyDescent="0.4">
      <c r="A178" s="39"/>
      <c r="B178" s="39"/>
      <c r="C178" s="39"/>
      <c r="D178" s="39"/>
      <c r="E178" s="56" t="s">
        <v>124</v>
      </c>
      <c r="F178" s="40">
        <v>3</v>
      </c>
      <c r="G178" s="39" t="s">
        <v>121</v>
      </c>
      <c r="H178" s="41">
        <v>51</v>
      </c>
    </row>
    <row r="179" spans="1:8" s="41" customFormat="1" x14ac:dyDescent="0.4">
      <c r="A179" s="39"/>
      <c r="B179" s="39"/>
      <c r="C179" s="39"/>
      <c r="D179" s="39"/>
      <c r="E179" s="56" t="s">
        <v>125</v>
      </c>
      <c r="F179" s="40">
        <v>5</v>
      </c>
      <c r="G179" s="39" t="s">
        <v>121</v>
      </c>
      <c r="H179" s="41">
        <v>51</v>
      </c>
    </row>
    <row r="180" spans="1:8" s="41" customFormat="1" x14ac:dyDescent="0.4">
      <c r="A180" s="39"/>
      <c r="B180" s="39"/>
      <c r="C180" s="39"/>
      <c r="D180" s="39"/>
      <c r="E180" s="56" t="s">
        <v>126</v>
      </c>
      <c r="F180" s="40">
        <v>5</v>
      </c>
      <c r="G180" s="39" t="s">
        <v>121</v>
      </c>
      <c r="H180" s="41">
        <v>51</v>
      </c>
    </row>
    <row r="181" spans="1:8" s="41" customFormat="1" x14ac:dyDescent="0.4">
      <c r="A181" s="39"/>
      <c r="B181" s="39"/>
      <c r="C181" s="39"/>
      <c r="D181" s="39"/>
      <c r="E181" s="56" t="s">
        <v>127</v>
      </c>
      <c r="F181" s="40">
        <v>4</v>
      </c>
      <c r="G181" s="39" t="s">
        <v>121</v>
      </c>
      <c r="H181" s="41">
        <v>51</v>
      </c>
    </row>
    <row r="182" spans="1:8" s="41" customFormat="1" x14ac:dyDescent="0.4">
      <c r="A182" s="39"/>
      <c r="B182" s="39"/>
      <c r="C182" s="39"/>
      <c r="D182" s="39"/>
      <c r="E182" s="56" t="s">
        <v>128</v>
      </c>
      <c r="F182" s="40">
        <v>5</v>
      </c>
      <c r="G182" s="39" t="s">
        <v>121</v>
      </c>
      <c r="H182" s="41">
        <v>51</v>
      </c>
    </row>
    <row r="183" spans="1:8" s="41" customFormat="1" x14ac:dyDescent="0.4">
      <c r="A183" s="39"/>
      <c r="B183" s="39"/>
      <c r="C183" s="39"/>
      <c r="D183" s="39"/>
      <c r="E183" s="56" t="s">
        <v>129</v>
      </c>
      <c r="F183" s="40">
        <v>5</v>
      </c>
      <c r="G183" s="39" t="s">
        <v>121</v>
      </c>
      <c r="H183" s="41">
        <v>51</v>
      </c>
    </row>
    <row r="184" spans="1:8" s="41" customFormat="1" x14ac:dyDescent="0.4">
      <c r="A184" s="39"/>
      <c r="B184" s="39"/>
      <c r="C184" s="39"/>
      <c r="D184" s="39"/>
      <c r="E184" s="56" t="s">
        <v>130</v>
      </c>
      <c r="F184" s="40">
        <v>3</v>
      </c>
      <c r="G184" s="39" t="s">
        <v>121</v>
      </c>
      <c r="H184" s="41">
        <v>51</v>
      </c>
    </row>
    <row r="185" spans="1:8" s="41" customFormat="1" x14ac:dyDescent="0.4">
      <c r="A185" s="39"/>
      <c r="B185" s="39"/>
      <c r="C185" s="39"/>
      <c r="D185" s="39"/>
      <c r="E185" s="56" t="s">
        <v>332</v>
      </c>
      <c r="F185" s="40">
        <v>2</v>
      </c>
      <c r="G185" s="39" t="s">
        <v>121</v>
      </c>
      <c r="H185" s="41">
        <v>51</v>
      </c>
    </row>
    <row r="186" spans="1:8" s="41" customFormat="1" x14ac:dyDescent="0.4">
      <c r="A186" s="39"/>
      <c r="B186" s="39"/>
      <c r="C186" s="39"/>
      <c r="D186" s="39"/>
      <c r="E186" s="56" t="s">
        <v>333</v>
      </c>
      <c r="F186" s="40">
        <v>3</v>
      </c>
      <c r="G186" s="39" t="s">
        <v>121</v>
      </c>
      <c r="H186" s="41">
        <v>51</v>
      </c>
    </row>
    <row r="187" spans="1:8" x14ac:dyDescent="0.4">
      <c r="F187" s="90">
        <f>SUM(F158:F186)</f>
        <v>86</v>
      </c>
      <c r="H187" s="44"/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309C-0D65-4F5E-BBC3-505A67AA46A7}">
  <dimension ref="A1:H7"/>
  <sheetViews>
    <sheetView topLeftCell="B1" workbookViewId="0">
      <selection activeCell="G7" sqref="G7"/>
    </sheetView>
  </sheetViews>
  <sheetFormatPr defaultColWidth="11.5546875" defaultRowHeight="12" x14ac:dyDescent="0.4"/>
  <cols>
    <col min="1" max="1" width="3.5546875" style="13" customWidth="1"/>
    <col min="2" max="2" width="39.77734375" style="13" customWidth="1"/>
    <col min="3" max="3" width="17.33203125" style="13" customWidth="1"/>
    <col min="4" max="4" width="17.44140625" style="13" customWidth="1"/>
    <col min="5" max="5" width="11.21875" style="19" customWidth="1"/>
    <col min="6" max="6" width="8.109375" style="19" customWidth="1"/>
    <col min="7" max="7" width="4.218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52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D3" s="13" t="s">
        <v>54</v>
      </c>
      <c r="E3" s="14" t="s">
        <v>50</v>
      </c>
      <c r="F3" s="19" t="s">
        <v>51</v>
      </c>
      <c r="G3" s="13">
        <v>23</v>
      </c>
      <c r="H3" s="15">
        <v>45</v>
      </c>
    </row>
    <row r="4" spans="1:8" s="18" customFormat="1" x14ac:dyDescent="0.4">
      <c r="A4" s="16">
        <v>2</v>
      </c>
      <c r="B4" s="16" t="s">
        <v>55</v>
      </c>
      <c r="C4" s="16"/>
      <c r="D4" s="16" t="s">
        <v>54</v>
      </c>
      <c r="E4" s="17" t="s">
        <v>50</v>
      </c>
      <c r="F4" s="46" t="s">
        <v>51</v>
      </c>
      <c r="G4" s="16">
        <v>14</v>
      </c>
      <c r="H4" s="18">
        <v>45</v>
      </c>
    </row>
    <row r="5" spans="1:8" x14ac:dyDescent="0.4">
      <c r="A5" s="13">
        <v>3</v>
      </c>
      <c r="B5" s="13" t="s">
        <v>56</v>
      </c>
      <c r="D5" s="13" t="s">
        <v>54</v>
      </c>
      <c r="E5" s="14" t="s">
        <v>50</v>
      </c>
      <c r="F5" s="19" t="s">
        <v>51</v>
      </c>
      <c r="G5" s="13">
        <v>15</v>
      </c>
      <c r="H5" s="15">
        <v>45</v>
      </c>
    </row>
    <row r="6" spans="1:8" s="18" customFormat="1" x14ac:dyDescent="0.4">
      <c r="A6" s="16">
        <v>4</v>
      </c>
      <c r="B6" s="16" t="s">
        <v>57</v>
      </c>
      <c r="C6" s="16" t="s">
        <v>58</v>
      </c>
      <c r="D6" s="16" t="s">
        <v>54</v>
      </c>
      <c r="E6" s="17">
        <f>DATE(1995,3,15)</f>
        <v>34773</v>
      </c>
      <c r="F6" s="46" t="s">
        <v>51</v>
      </c>
      <c r="G6" s="16">
        <v>6</v>
      </c>
      <c r="H6" s="18">
        <v>45</v>
      </c>
    </row>
    <row r="7" spans="1:8" x14ac:dyDescent="0.4">
      <c r="G7" s="13">
        <f>SUM(G3:G6)</f>
        <v>58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CD8D-B014-4749-BAD1-0AD4769C69C9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" style="13" customWidth="1"/>
    <col min="2" max="2" width="33.21875" style="13" customWidth="1"/>
    <col min="3" max="3" width="16.77734375" style="13" customWidth="1"/>
    <col min="4" max="4" width="21.5546875" style="13" customWidth="1"/>
    <col min="5" max="5" width="13.21875" style="19" customWidth="1"/>
    <col min="6" max="6" width="9.109375" style="13" customWidth="1"/>
    <col min="7" max="7" width="4.3320312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334</v>
      </c>
      <c r="B1" s="95"/>
      <c r="C1" s="95"/>
      <c r="E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335</v>
      </c>
      <c r="E3" s="19" t="s">
        <v>50</v>
      </c>
      <c r="F3" s="19" t="s">
        <v>336</v>
      </c>
      <c r="G3" s="13">
        <v>2</v>
      </c>
      <c r="H3" s="15">
        <v>53</v>
      </c>
    </row>
    <row r="4" spans="1:8" x14ac:dyDescent="0.4">
      <c r="G4" s="13">
        <f>SUM(G3)</f>
        <v>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FC9A5-BFAB-42DF-920B-284EAF147AA1}">
  <dimension ref="A1:H5"/>
  <sheetViews>
    <sheetView workbookViewId="0">
      <selection activeCell="G5" sqref="G5"/>
    </sheetView>
  </sheetViews>
  <sheetFormatPr defaultColWidth="11.5546875" defaultRowHeight="12" x14ac:dyDescent="0.4"/>
  <cols>
    <col min="1" max="1" width="3" style="13" customWidth="1"/>
    <col min="2" max="2" width="33.21875" style="13" customWidth="1"/>
    <col min="3" max="3" width="16.77734375" style="13" customWidth="1"/>
    <col min="4" max="4" width="21.5546875" style="13" customWidth="1"/>
    <col min="5" max="5" width="13.21875" style="19" customWidth="1"/>
    <col min="6" max="6" width="8" style="19" customWidth="1"/>
    <col min="7" max="7" width="4.33203125" style="13" customWidth="1"/>
    <col min="8" max="8" width="3.44140625" style="15" customWidth="1"/>
    <col min="9" max="16384" width="11.5546875" style="15"/>
  </cols>
  <sheetData>
    <row r="1" spans="1:8" s="21" customFormat="1" x14ac:dyDescent="0.4">
      <c r="A1" s="95" t="s">
        <v>337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338</v>
      </c>
      <c r="D3" s="13" t="s">
        <v>339</v>
      </c>
      <c r="E3" s="14">
        <f>DATE(2009,3,14)</f>
        <v>39886</v>
      </c>
      <c r="F3" s="19" t="s">
        <v>294</v>
      </c>
      <c r="G3" s="13">
        <v>85</v>
      </c>
      <c r="H3" s="15">
        <v>53</v>
      </c>
    </row>
    <row r="4" spans="1:8" s="18" customFormat="1" x14ac:dyDescent="0.4">
      <c r="A4" s="18">
        <v>2</v>
      </c>
      <c r="B4" s="18" t="s">
        <v>340</v>
      </c>
      <c r="D4" s="18" t="s">
        <v>339</v>
      </c>
      <c r="E4" s="17">
        <v>39886</v>
      </c>
      <c r="F4" s="33" t="s">
        <v>294</v>
      </c>
      <c r="G4" s="18">
        <v>92</v>
      </c>
      <c r="H4" s="18">
        <v>53</v>
      </c>
    </row>
    <row r="5" spans="1:8" x14ac:dyDescent="0.4">
      <c r="G5" s="13">
        <f>SUM(G3:G4)</f>
        <v>177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83D48-5118-47F6-A864-DFB590C9983F}">
  <dimension ref="A1:H60"/>
  <sheetViews>
    <sheetView topLeftCell="A57" workbookViewId="0">
      <selection activeCell="G60" sqref="G60"/>
    </sheetView>
  </sheetViews>
  <sheetFormatPr defaultColWidth="11.5546875" defaultRowHeight="12" x14ac:dyDescent="0.4"/>
  <cols>
    <col min="1" max="1" width="3.109375" style="13" customWidth="1"/>
    <col min="2" max="2" width="41.109375" style="13" customWidth="1"/>
    <col min="3" max="3" width="16.33203125" style="13" customWidth="1"/>
    <col min="4" max="4" width="23" style="13" customWidth="1"/>
    <col min="5" max="5" width="14.44140625" style="14" customWidth="1"/>
    <col min="6" max="6" width="7.88671875" style="19" customWidth="1"/>
    <col min="7" max="7" width="4.5546875" style="13" customWidth="1"/>
    <col min="8" max="8" width="4.109375" style="15" customWidth="1"/>
    <col min="9" max="16384" width="11.5546875" style="15"/>
  </cols>
  <sheetData>
    <row r="1" spans="1:8" s="21" customFormat="1" x14ac:dyDescent="0.4">
      <c r="A1" s="95" t="s">
        <v>341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342</v>
      </c>
      <c r="C3" s="13" t="s">
        <v>170</v>
      </c>
      <c r="D3" s="13" t="s">
        <v>343</v>
      </c>
      <c r="E3" s="14">
        <f>DATE(2003,8,7)</f>
        <v>37840</v>
      </c>
      <c r="F3" s="19" t="s">
        <v>51</v>
      </c>
      <c r="G3" s="13">
        <v>6</v>
      </c>
      <c r="H3" s="15">
        <v>35</v>
      </c>
    </row>
    <row r="4" spans="1:8" s="18" customFormat="1" x14ac:dyDescent="0.4">
      <c r="A4" s="16">
        <v>2</v>
      </c>
      <c r="B4" s="16" t="s">
        <v>112</v>
      </c>
      <c r="C4" s="16" t="s">
        <v>113</v>
      </c>
      <c r="D4" s="16"/>
      <c r="E4" s="17">
        <f>DATE(2004,10,22)</f>
        <v>38282</v>
      </c>
      <c r="F4" s="46" t="s">
        <v>51</v>
      </c>
      <c r="G4" s="16">
        <v>2</v>
      </c>
      <c r="H4" s="18">
        <v>35</v>
      </c>
    </row>
    <row r="5" spans="1:8" x14ac:dyDescent="0.4">
      <c r="A5" s="13">
        <v>3</v>
      </c>
      <c r="B5" s="13" t="s">
        <v>112</v>
      </c>
      <c r="C5" s="13" t="s">
        <v>113</v>
      </c>
      <c r="E5" s="14">
        <f>DATE(2004,11,12)</f>
        <v>38303</v>
      </c>
      <c r="F5" s="19" t="s">
        <v>51</v>
      </c>
      <c r="G5" s="13">
        <v>1</v>
      </c>
      <c r="H5" s="15">
        <v>35</v>
      </c>
    </row>
    <row r="6" spans="1:8" s="18" customFormat="1" x14ac:dyDescent="0.4">
      <c r="A6" s="16">
        <v>4</v>
      </c>
      <c r="B6" s="16" t="s">
        <v>112</v>
      </c>
      <c r="C6" s="16" t="s">
        <v>113</v>
      </c>
      <c r="D6" s="16"/>
      <c r="E6" s="17">
        <f>DATE(2004,12,1)</f>
        <v>38322</v>
      </c>
      <c r="F6" s="46" t="s">
        <v>51</v>
      </c>
      <c r="G6" s="16">
        <v>1</v>
      </c>
      <c r="H6" s="18">
        <v>35</v>
      </c>
    </row>
    <row r="7" spans="1:8" x14ac:dyDescent="0.4">
      <c r="A7" s="13">
        <v>5</v>
      </c>
      <c r="B7" s="13" t="s">
        <v>112</v>
      </c>
      <c r="C7" s="13" t="s">
        <v>113</v>
      </c>
      <c r="E7" s="14">
        <f>DATE(2005,1,13)</f>
        <v>38365</v>
      </c>
      <c r="F7" s="19" t="s">
        <v>51</v>
      </c>
      <c r="G7" s="13">
        <v>1</v>
      </c>
      <c r="H7" s="15">
        <v>35</v>
      </c>
    </row>
    <row r="8" spans="1:8" x14ac:dyDescent="0.4">
      <c r="E8" s="14">
        <f>DATE(2005,1,14)</f>
        <v>38366</v>
      </c>
      <c r="F8" s="19" t="s">
        <v>51</v>
      </c>
      <c r="G8" s="13">
        <v>1</v>
      </c>
      <c r="H8" s="15">
        <v>35</v>
      </c>
    </row>
    <row r="9" spans="1:8" x14ac:dyDescent="0.4">
      <c r="E9" s="14">
        <f>DATE(2005,1,15)</f>
        <v>38367</v>
      </c>
      <c r="F9" s="19" t="s">
        <v>51</v>
      </c>
      <c r="G9" s="13">
        <v>1</v>
      </c>
      <c r="H9" s="15">
        <v>35</v>
      </c>
    </row>
    <row r="10" spans="1:8" x14ac:dyDescent="0.4">
      <c r="E10" s="14">
        <f>DATE(2005,1,17)</f>
        <v>38369</v>
      </c>
      <c r="F10" s="19" t="s">
        <v>51</v>
      </c>
      <c r="G10" s="13">
        <v>1</v>
      </c>
      <c r="H10" s="15">
        <v>35</v>
      </c>
    </row>
    <row r="11" spans="1:8" x14ac:dyDescent="0.4">
      <c r="E11" s="14">
        <f>DATE(2005,1,19)</f>
        <v>38371</v>
      </c>
      <c r="F11" s="19" t="s">
        <v>51</v>
      </c>
      <c r="G11" s="13">
        <v>1</v>
      </c>
      <c r="H11" s="15">
        <v>35</v>
      </c>
    </row>
    <row r="12" spans="1:8" x14ac:dyDescent="0.4">
      <c r="E12" s="14">
        <f>DATE(2005,1,21)</f>
        <v>38373</v>
      </c>
      <c r="F12" s="19" t="s">
        <v>51</v>
      </c>
      <c r="G12" s="13">
        <v>1</v>
      </c>
      <c r="H12" s="15">
        <v>35</v>
      </c>
    </row>
    <row r="13" spans="1:8" x14ac:dyDescent="0.4">
      <c r="E13" s="14">
        <f>DATE(2005,1,22)</f>
        <v>38374</v>
      </c>
      <c r="F13" s="19" t="s">
        <v>51</v>
      </c>
      <c r="G13" s="13">
        <v>1</v>
      </c>
      <c r="H13" s="15">
        <v>35</v>
      </c>
    </row>
    <row r="14" spans="1:8" x14ac:dyDescent="0.4">
      <c r="E14" s="14">
        <f>DATE(2005,1,26)</f>
        <v>38378</v>
      </c>
      <c r="F14" s="19" t="s">
        <v>51</v>
      </c>
      <c r="G14" s="13">
        <v>4</v>
      </c>
      <c r="H14" s="15">
        <v>35</v>
      </c>
    </row>
    <row r="15" spans="1:8" x14ac:dyDescent="0.4">
      <c r="E15" s="14">
        <f>DATE(2005,1,27)</f>
        <v>38379</v>
      </c>
      <c r="F15" s="19" t="s">
        <v>51</v>
      </c>
      <c r="G15" s="13">
        <v>4</v>
      </c>
      <c r="H15" s="15">
        <v>35</v>
      </c>
    </row>
    <row r="16" spans="1:8" x14ac:dyDescent="0.4">
      <c r="E16" s="14">
        <f>DATE(2005,1,28)</f>
        <v>38380</v>
      </c>
      <c r="F16" s="19" t="s">
        <v>51</v>
      </c>
      <c r="G16" s="13">
        <v>2</v>
      </c>
      <c r="H16" s="15">
        <v>35</v>
      </c>
    </row>
    <row r="17" spans="1:8" s="18" customFormat="1" x14ac:dyDescent="0.4">
      <c r="A17" s="16">
        <v>6</v>
      </c>
      <c r="B17" s="16" t="s">
        <v>112</v>
      </c>
      <c r="C17" s="16" t="s">
        <v>113</v>
      </c>
      <c r="D17" s="16"/>
      <c r="E17" s="17">
        <f>DATE(2005,2,13)</f>
        <v>38396</v>
      </c>
      <c r="F17" s="46" t="s">
        <v>51</v>
      </c>
      <c r="G17" s="16">
        <v>1</v>
      </c>
      <c r="H17" s="18">
        <v>35</v>
      </c>
    </row>
    <row r="18" spans="1:8" s="18" customFormat="1" x14ac:dyDescent="0.4">
      <c r="A18" s="16"/>
      <c r="B18" s="16"/>
      <c r="C18" s="16"/>
      <c r="D18" s="16"/>
      <c r="E18" s="17">
        <f>DATE(2005,2,18)</f>
        <v>38401</v>
      </c>
      <c r="F18" s="46" t="s">
        <v>51</v>
      </c>
      <c r="G18" s="16">
        <v>1</v>
      </c>
      <c r="H18" s="18">
        <v>35</v>
      </c>
    </row>
    <row r="19" spans="1:8" s="18" customFormat="1" x14ac:dyDescent="0.4">
      <c r="A19" s="16"/>
      <c r="B19" s="16"/>
      <c r="C19" s="16"/>
      <c r="D19" s="16"/>
      <c r="E19" s="17">
        <f>DATE(2005,2,19)</f>
        <v>38402</v>
      </c>
      <c r="F19" s="46" t="s">
        <v>51</v>
      </c>
      <c r="G19" s="16">
        <v>1</v>
      </c>
      <c r="H19" s="18">
        <v>35</v>
      </c>
    </row>
    <row r="20" spans="1:8" x14ac:dyDescent="0.4">
      <c r="A20" s="13">
        <v>7</v>
      </c>
      <c r="B20" s="13" t="s">
        <v>112</v>
      </c>
      <c r="C20" s="13" t="s">
        <v>113</v>
      </c>
      <c r="E20" s="14">
        <f>DATE(2005,3,24)</f>
        <v>38435</v>
      </c>
      <c r="F20" s="19" t="s">
        <v>51</v>
      </c>
      <c r="G20" s="13">
        <v>1</v>
      </c>
      <c r="H20" s="15">
        <v>35</v>
      </c>
    </row>
    <row r="21" spans="1:8" s="18" customFormat="1" x14ac:dyDescent="0.4">
      <c r="A21" s="16">
        <v>8</v>
      </c>
      <c r="B21" s="16" t="s">
        <v>112</v>
      </c>
      <c r="C21" s="16" t="s">
        <v>113</v>
      </c>
      <c r="D21" s="16"/>
      <c r="E21" s="17">
        <f>DATE(2005,4,7)</f>
        <v>38449</v>
      </c>
      <c r="F21" s="46" t="s">
        <v>51</v>
      </c>
      <c r="G21" s="16">
        <v>1</v>
      </c>
      <c r="H21" s="18">
        <v>35</v>
      </c>
    </row>
    <row r="22" spans="1:8" s="18" customFormat="1" x14ac:dyDescent="0.4">
      <c r="A22" s="16"/>
      <c r="B22" s="16"/>
      <c r="C22" s="16"/>
      <c r="D22" s="16"/>
      <c r="E22" s="17">
        <f>DATE(2005,4,8)</f>
        <v>38450</v>
      </c>
      <c r="F22" s="46" t="s">
        <v>51</v>
      </c>
      <c r="G22" s="16">
        <v>1</v>
      </c>
      <c r="H22" s="18">
        <v>35</v>
      </c>
    </row>
    <row r="23" spans="1:8" s="18" customFormat="1" x14ac:dyDescent="0.4">
      <c r="A23" s="16"/>
      <c r="B23" s="16"/>
      <c r="C23" s="16"/>
      <c r="D23" s="16"/>
      <c r="E23" s="17">
        <f>DATE(2005,4,24)</f>
        <v>38466</v>
      </c>
      <c r="F23" s="46" t="s">
        <v>51</v>
      </c>
      <c r="G23" s="16">
        <v>1</v>
      </c>
      <c r="H23" s="18">
        <v>35</v>
      </c>
    </row>
    <row r="24" spans="1:8" x14ac:dyDescent="0.4">
      <c r="A24" s="13">
        <v>9</v>
      </c>
      <c r="B24" s="13" t="s">
        <v>112</v>
      </c>
      <c r="C24" s="13" t="s">
        <v>113</v>
      </c>
      <c r="E24" s="14">
        <f>DATE(2005,5,5)</f>
        <v>38477</v>
      </c>
      <c r="F24" s="19" t="s">
        <v>51</v>
      </c>
      <c r="G24" s="13">
        <v>1</v>
      </c>
      <c r="H24" s="15">
        <v>35</v>
      </c>
    </row>
    <row r="25" spans="1:8" x14ac:dyDescent="0.4">
      <c r="E25" s="14">
        <f>DATE(2005,5,8)</f>
        <v>38480</v>
      </c>
      <c r="F25" s="19" t="s">
        <v>51</v>
      </c>
      <c r="G25" s="13">
        <v>1</v>
      </c>
      <c r="H25" s="15">
        <v>35</v>
      </c>
    </row>
    <row r="26" spans="1:8" x14ac:dyDescent="0.4">
      <c r="E26" s="14">
        <f>DATE(2005,5,10)</f>
        <v>38482</v>
      </c>
      <c r="F26" s="19" t="s">
        <v>51</v>
      </c>
      <c r="G26" s="13">
        <v>2</v>
      </c>
      <c r="H26" s="15">
        <v>35</v>
      </c>
    </row>
    <row r="27" spans="1:8" x14ac:dyDescent="0.4">
      <c r="E27" s="14">
        <f>DATE(2005,5,18)</f>
        <v>38490</v>
      </c>
      <c r="F27" s="19" t="s">
        <v>51</v>
      </c>
      <c r="G27" s="13">
        <v>1</v>
      </c>
      <c r="H27" s="15">
        <v>35</v>
      </c>
    </row>
    <row r="28" spans="1:8" x14ac:dyDescent="0.4">
      <c r="E28" s="14">
        <f>DATE(2005,5,19)</f>
        <v>38491</v>
      </c>
      <c r="F28" s="19" t="s">
        <v>51</v>
      </c>
      <c r="G28" s="13">
        <v>1</v>
      </c>
      <c r="H28" s="15">
        <v>35</v>
      </c>
    </row>
    <row r="29" spans="1:8" x14ac:dyDescent="0.4">
      <c r="E29" s="14">
        <f>DATE(2005,5,25)</f>
        <v>38497</v>
      </c>
      <c r="F29" s="19" t="s">
        <v>51</v>
      </c>
      <c r="G29" s="13">
        <v>1</v>
      </c>
      <c r="H29" s="15">
        <v>35</v>
      </c>
    </row>
    <row r="30" spans="1:8" x14ac:dyDescent="0.4">
      <c r="E30" s="14">
        <f>DATE(2005,5,26)</f>
        <v>38498</v>
      </c>
      <c r="F30" s="19" t="s">
        <v>51</v>
      </c>
      <c r="G30" s="13">
        <v>1</v>
      </c>
      <c r="H30" s="15">
        <v>35</v>
      </c>
    </row>
    <row r="31" spans="1:8" s="18" customFormat="1" x14ac:dyDescent="0.4">
      <c r="A31" s="16">
        <v>10</v>
      </c>
      <c r="B31" s="16" t="s">
        <v>76</v>
      </c>
      <c r="C31" s="16" t="s">
        <v>208</v>
      </c>
      <c r="D31" s="16"/>
      <c r="E31" s="17" t="s">
        <v>181</v>
      </c>
      <c r="F31" s="46" t="s">
        <v>51</v>
      </c>
      <c r="G31" s="16">
        <v>1</v>
      </c>
      <c r="H31" s="18">
        <v>35</v>
      </c>
    </row>
    <row r="32" spans="1:8" s="18" customFormat="1" x14ac:dyDescent="0.4">
      <c r="A32" s="16"/>
      <c r="B32" s="16" t="s">
        <v>80</v>
      </c>
      <c r="C32" s="16" t="s">
        <v>113</v>
      </c>
      <c r="D32" s="16"/>
      <c r="E32" s="17">
        <f t="shared" ref="E32" si="0">DATE(2006,6,1)</f>
        <v>38869</v>
      </c>
      <c r="F32" s="46" t="s">
        <v>51</v>
      </c>
      <c r="G32" s="16">
        <v>1</v>
      </c>
      <c r="H32" s="18">
        <v>35</v>
      </c>
    </row>
    <row r="33" spans="1:8" s="18" customFormat="1" x14ac:dyDescent="0.4">
      <c r="A33" s="16"/>
      <c r="B33" s="16"/>
      <c r="C33" s="16"/>
      <c r="D33" s="16"/>
      <c r="E33" s="17">
        <f>DATE(2006,6,9)</f>
        <v>38877</v>
      </c>
      <c r="F33" s="46" t="s">
        <v>51</v>
      </c>
      <c r="G33" s="16">
        <v>1</v>
      </c>
      <c r="H33" s="18">
        <v>35</v>
      </c>
    </row>
    <row r="34" spans="1:8" s="18" customFormat="1" x14ac:dyDescent="0.4">
      <c r="A34" s="16"/>
      <c r="B34" s="16"/>
      <c r="C34" s="16"/>
      <c r="D34" s="16"/>
      <c r="E34" s="17">
        <f>DATE(2006,6,11)</f>
        <v>38879</v>
      </c>
      <c r="F34" s="46" t="s">
        <v>51</v>
      </c>
      <c r="G34" s="16">
        <v>1</v>
      </c>
      <c r="H34" s="18">
        <v>35</v>
      </c>
    </row>
    <row r="35" spans="1:8" s="18" customFormat="1" x14ac:dyDescent="0.4">
      <c r="A35" s="16"/>
      <c r="B35" s="16"/>
      <c r="C35" s="16"/>
      <c r="D35" s="16"/>
      <c r="E35" s="17">
        <f>DATE(2006,6,15)</f>
        <v>38883</v>
      </c>
      <c r="F35" s="46" t="s">
        <v>51</v>
      </c>
      <c r="G35" s="16">
        <v>1</v>
      </c>
      <c r="H35" s="18">
        <v>35</v>
      </c>
    </row>
    <row r="36" spans="1:8" s="18" customFormat="1" x14ac:dyDescent="0.4">
      <c r="A36" s="16"/>
      <c r="B36" s="16"/>
      <c r="C36" s="16"/>
      <c r="D36" s="16"/>
      <c r="E36" s="17">
        <f>DATE(2006,6,16)</f>
        <v>38884</v>
      </c>
      <c r="F36" s="46" t="s">
        <v>51</v>
      </c>
      <c r="G36" s="16">
        <v>1</v>
      </c>
      <c r="H36" s="18">
        <v>35</v>
      </c>
    </row>
    <row r="37" spans="1:8" s="18" customFormat="1" x14ac:dyDescent="0.4">
      <c r="A37" s="16"/>
      <c r="B37" s="16"/>
      <c r="C37" s="16"/>
      <c r="D37" s="16"/>
      <c r="E37" s="17">
        <f>DATE(2006,6,18)</f>
        <v>38886</v>
      </c>
      <c r="F37" s="46" t="s">
        <v>51</v>
      </c>
      <c r="G37" s="16">
        <v>1</v>
      </c>
      <c r="H37" s="18">
        <v>35</v>
      </c>
    </row>
    <row r="38" spans="1:8" s="18" customFormat="1" x14ac:dyDescent="0.4">
      <c r="A38" s="16"/>
      <c r="B38" s="16"/>
      <c r="C38" s="16"/>
      <c r="D38" s="16"/>
      <c r="E38" s="17">
        <f>DATE(2006,6,21)</f>
        <v>38889</v>
      </c>
      <c r="F38" s="46" t="s">
        <v>51</v>
      </c>
      <c r="G38" s="16">
        <v>1</v>
      </c>
      <c r="H38" s="18">
        <v>35</v>
      </c>
    </row>
    <row r="39" spans="1:8" s="18" customFormat="1" x14ac:dyDescent="0.4">
      <c r="A39" s="16"/>
      <c r="B39" s="16"/>
      <c r="C39" s="16"/>
      <c r="D39" s="16"/>
      <c r="E39" s="17">
        <f>DATE(2006,6,23)</f>
        <v>38891</v>
      </c>
      <c r="F39" s="46" t="s">
        <v>51</v>
      </c>
      <c r="G39" s="16">
        <v>1</v>
      </c>
      <c r="H39" s="18">
        <v>35</v>
      </c>
    </row>
    <row r="40" spans="1:8" s="18" customFormat="1" x14ac:dyDescent="0.4">
      <c r="A40" s="16"/>
      <c r="B40" s="16"/>
      <c r="C40" s="16"/>
      <c r="D40" s="16"/>
      <c r="E40" s="17">
        <f>DATE(2006,6,24)</f>
        <v>38892</v>
      </c>
      <c r="F40" s="46" t="s">
        <v>51</v>
      </c>
      <c r="G40" s="16">
        <v>5</v>
      </c>
      <c r="H40" s="18">
        <v>35</v>
      </c>
    </row>
    <row r="41" spans="1:8" s="18" customFormat="1" x14ac:dyDescent="0.4">
      <c r="A41" s="16"/>
      <c r="B41" s="16"/>
      <c r="C41" s="16"/>
      <c r="D41" s="16"/>
      <c r="E41" s="17">
        <f>DATE(2006,6,25)</f>
        <v>38893</v>
      </c>
      <c r="F41" s="46" t="s">
        <v>51</v>
      </c>
      <c r="G41" s="16">
        <v>1</v>
      </c>
      <c r="H41" s="18">
        <v>35</v>
      </c>
    </row>
    <row r="42" spans="1:8" s="18" customFormat="1" x14ac:dyDescent="0.4">
      <c r="A42" s="16"/>
      <c r="B42" s="16"/>
      <c r="C42" s="16"/>
      <c r="D42" s="16"/>
      <c r="E42" s="17">
        <f>DATE(2006,6,26)</f>
        <v>38894</v>
      </c>
      <c r="F42" s="46" t="s">
        <v>51</v>
      </c>
      <c r="G42" s="16">
        <v>3</v>
      </c>
      <c r="H42" s="18">
        <v>35</v>
      </c>
    </row>
    <row r="43" spans="1:8" s="18" customFormat="1" x14ac:dyDescent="0.4">
      <c r="A43" s="16"/>
      <c r="B43" s="35"/>
      <c r="C43" s="16"/>
      <c r="D43" s="16"/>
      <c r="E43" s="17">
        <f>DATE(2006,6,27)</f>
        <v>38895</v>
      </c>
      <c r="F43" s="46" t="s">
        <v>51</v>
      </c>
      <c r="G43" s="16">
        <v>5</v>
      </c>
      <c r="H43" s="18">
        <v>35</v>
      </c>
    </row>
    <row r="44" spans="1:8" x14ac:dyDescent="0.4">
      <c r="A44" s="15">
        <v>11</v>
      </c>
      <c r="B44" s="15" t="s">
        <v>112</v>
      </c>
      <c r="C44" s="15" t="s">
        <v>113</v>
      </c>
      <c r="D44" s="15"/>
      <c r="E44" s="24">
        <f>DATE(2006,7,1)</f>
        <v>38899</v>
      </c>
      <c r="F44" s="29" t="s">
        <v>51</v>
      </c>
      <c r="G44" s="15">
        <v>1</v>
      </c>
      <c r="H44" s="15">
        <v>35</v>
      </c>
    </row>
    <row r="45" spans="1:8" x14ac:dyDescent="0.4">
      <c r="A45" s="15"/>
      <c r="B45" s="15"/>
      <c r="C45" s="15"/>
      <c r="D45" s="15"/>
      <c r="E45" s="24">
        <f>DATE(2006,7,3)</f>
        <v>38901</v>
      </c>
      <c r="F45" s="29" t="s">
        <v>51</v>
      </c>
      <c r="G45" s="15">
        <v>3</v>
      </c>
      <c r="H45" s="15">
        <v>35</v>
      </c>
    </row>
    <row r="46" spans="1:8" x14ac:dyDescent="0.4">
      <c r="A46" s="15"/>
      <c r="B46" s="15"/>
      <c r="C46" s="15"/>
      <c r="D46" s="15"/>
      <c r="E46" s="24">
        <f>DATE(2006,7,4)</f>
        <v>38902</v>
      </c>
      <c r="F46" s="29" t="s">
        <v>51</v>
      </c>
      <c r="G46" s="15">
        <v>1</v>
      </c>
      <c r="H46" s="15">
        <v>35</v>
      </c>
    </row>
    <row r="47" spans="1:8" x14ac:dyDescent="0.4">
      <c r="A47" s="15"/>
      <c r="B47" s="15"/>
      <c r="C47" s="15"/>
      <c r="D47" s="15"/>
      <c r="E47" s="24">
        <f>DATE(2006,7,5)</f>
        <v>38903</v>
      </c>
      <c r="F47" s="29" t="s">
        <v>51</v>
      </c>
      <c r="G47" s="15">
        <v>11</v>
      </c>
      <c r="H47" s="15">
        <v>35</v>
      </c>
    </row>
    <row r="48" spans="1:8" x14ac:dyDescent="0.4">
      <c r="A48" s="15"/>
      <c r="B48" s="15"/>
      <c r="C48" s="15"/>
      <c r="D48" s="15"/>
      <c r="E48" s="24">
        <f>DATE(2006,7,6)</f>
        <v>38904</v>
      </c>
      <c r="F48" s="29" t="s">
        <v>51</v>
      </c>
      <c r="G48" s="15">
        <v>1</v>
      </c>
      <c r="H48" s="15">
        <v>35</v>
      </c>
    </row>
    <row r="49" spans="1:8" x14ac:dyDescent="0.4">
      <c r="A49" s="15"/>
      <c r="B49" s="15"/>
      <c r="C49" s="15"/>
      <c r="D49" s="15"/>
      <c r="E49" s="24">
        <f>DATE(2006,7,7)</f>
        <v>38905</v>
      </c>
      <c r="F49" s="29" t="s">
        <v>51</v>
      </c>
      <c r="G49" s="15">
        <v>2</v>
      </c>
      <c r="H49" s="15">
        <v>35</v>
      </c>
    </row>
    <row r="50" spans="1:8" x14ac:dyDescent="0.4">
      <c r="A50" s="15"/>
      <c r="B50" s="15"/>
      <c r="C50" s="15"/>
      <c r="D50" s="15"/>
      <c r="E50" s="24">
        <f>DATE(2006,7,11)</f>
        <v>38909</v>
      </c>
      <c r="F50" s="29" t="s">
        <v>51</v>
      </c>
      <c r="G50" s="15">
        <v>1</v>
      </c>
      <c r="H50" s="15">
        <v>35</v>
      </c>
    </row>
    <row r="51" spans="1:8" x14ac:dyDescent="0.4">
      <c r="A51" s="15"/>
      <c r="B51" s="15"/>
      <c r="C51" s="15"/>
      <c r="D51" s="15"/>
      <c r="E51" s="24">
        <f>DATE(2006,7,14)</f>
        <v>38912</v>
      </c>
      <c r="F51" s="29" t="s">
        <v>51</v>
      </c>
      <c r="G51" s="15">
        <v>1</v>
      </c>
      <c r="H51" s="15">
        <v>35</v>
      </c>
    </row>
    <row r="52" spans="1:8" x14ac:dyDescent="0.4">
      <c r="A52" s="15"/>
      <c r="B52" s="15"/>
      <c r="C52" s="15"/>
      <c r="D52" s="15"/>
      <c r="E52" s="24">
        <f>DATE(2006,7,15)</f>
        <v>38913</v>
      </c>
      <c r="F52" s="29" t="s">
        <v>51</v>
      </c>
      <c r="G52" s="15">
        <v>1</v>
      </c>
      <c r="H52" s="15">
        <v>35</v>
      </c>
    </row>
    <row r="53" spans="1:8" x14ac:dyDescent="0.4">
      <c r="A53" s="15"/>
      <c r="B53" s="15"/>
      <c r="C53" s="15"/>
      <c r="D53" s="15"/>
      <c r="E53" s="24">
        <f>DATE(2006,7,16)</f>
        <v>38914</v>
      </c>
      <c r="F53" s="29" t="s">
        <v>51</v>
      </c>
      <c r="G53" s="15">
        <v>1</v>
      </c>
      <c r="H53" s="15">
        <v>35</v>
      </c>
    </row>
    <row r="54" spans="1:8" x14ac:dyDescent="0.4">
      <c r="A54" s="15"/>
      <c r="B54" s="15"/>
      <c r="C54" s="15"/>
      <c r="D54" s="15"/>
      <c r="E54" s="24">
        <f>DATE(2006,7,18)</f>
        <v>38916</v>
      </c>
      <c r="F54" s="29" t="s">
        <v>51</v>
      </c>
      <c r="G54" s="15">
        <v>1</v>
      </c>
      <c r="H54" s="15">
        <v>35</v>
      </c>
    </row>
    <row r="55" spans="1:8" x14ac:dyDescent="0.4">
      <c r="A55" s="15"/>
      <c r="B55" s="15"/>
      <c r="C55" s="15"/>
      <c r="D55" s="15"/>
      <c r="E55" s="24">
        <f>DATE(2006,7,31)</f>
        <v>38929</v>
      </c>
      <c r="F55" s="29" t="s">
        <v>51</v>
      </c>
      <c r="G55" s="15">
        <v>1</v>
      </c>
      <c r="H55" s="15">
        <v>35</v>
      </c>
    </row>
    <row r="56" spans="1:8" s="18" customFormat="1" x14ac:dyDescent="0.4">
      <c r="A56" s="16">
        <v>12</v>
      </c>
      <c r="B56" s="16" t="s">
        <v>344</v>
      </c>
      <c r="C56" s="16"/>
      <c r="D56" s="16"/>
      <c r="E56" s="17" t="s">
        <v>50</v>
      </c>
      <c r="F56" s="46" t="s">
        <v>51</v>
      </c>
      <c r="G56" s="16">
        <v>1</v>
      </c>
      <c r="H56" s="18">
        <v>35</v>
      </c>
    </row>
    <row r="57" spans="1:8" x14ac:dyDescent="0.4">
      <c r="A57" s="13">
        <v>13</v>
      </c>
      <c r="B57" s="13" t="s">
        <v>345</v>
      </c>
      <c r="E57" s="14" t="s">
        <v>50</v>
      </c>
      <c r="F57" s="19" t="s">
        <v>51</v>
      </c>
      <c r="G57" s="13">
        <v>1</v>
      </c>
      <c r="H57" s="15">
        <v>35</v>
      </c>
    </row>
    <row r="58" spans="1:8" s="18" customFormat="1" x14ac:dyDescent="0.4">
      <c r="A58" s="16">
        <v>14</v>
      </c>
      <c r="B58" s="16" t="s">
        <v>257</v>
      </c>
      <c r="C58" s="16"/>
      <c r="D58" s="16"/>
      <c r="E58" s="17"/>
      <c r="F58" s="46" t="s">
        <v>87</v>
      </c>
      <c r="G58" s="16">
        <v>11</v>
      </c>
      <c r="H58" s="18">
        <v>35</v>
      </c>
    </row>
    <row r="59" spans="1:8" x14ac:dyDescent="0.4">
      <c r="A59" s="13">
        <v>15</v>
      </c>
      <c r="B59" s="13" t="s">
        <v>346</v>
      </c>
      <c r="F59" s="19" t="s">
        <v>87</v>
      </c>
      <c r="G59" s="13">
        <v>4</v>
      </c>
      <c r="H59" s="15">
        <v>35</v>
      </c>
    </row>
    <row r="60" spans="1:8" x14ac:dyDescent="0.4">
      <c r="G60" s="13">
        <f>SUM(G3:G59)</f>
        <v>107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C66C-BAC4-4C14-B18C-1733EFEB96E5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109375" style="13" customWidth="1"/>
    <col min="2" max="2" width="25.109375" style="13" customWidth="1"/>
    <col min="3" max="3" width="19" style="13" customWidth="1"/>
    <col min="4" max="4" width="23" style="13" customWidth="1"/>
    <col min="5" max="5" width="14.44140625" style="14" customWidth="1"/>
    <col min="6" max="6" width="8.6640625" style="13" customWidth="1"/>
    <col min="7" max="7" width="4.5546875" style="13" customWidth="1"/>
    <col min="8" max="8" width="5.21875" style="15" customWidth="1"/>
    <col min="9" max="16384" width="11.5546875" style="15"/>
  </cols>
  <sheetData>
    <row r="1" spans="1:8" s="21" customFormat="1" x14ac:dyDescent="0.4">
      <c r="A1" s="95" t="s">
        <v>347</v>
      </c>
      <c r="B1" s="95"/>
      <c r="C1" s="95"/>
      <c r="E1" s="28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348</v>
      </c>
      <c r="E3" s="14" t="s">
        <v>50</v>
      </c>
      <c r="F3" s="13" t="s">
        <v>336</v>
      </c>
      <c r="G3" s="13">
        <v>8</v>
      </c>
      <c r="H3" s="15">
        <v>53</v>
      </c>
    </row>
    <row r="4" spans="1:8" x14ac:dyDescent="0.4">
      <c r="G4" s="13">
        <f>SUM(G3)</f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7994-6C92-457E-9CC2-3A9C445D626E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109375" style="13" customWidth="1"/>
    <col min="2" max="2" width="27.21875" style="13" customWidth="1"/>
    <col min="3" max="3" width="19" style="13" customWidth="1"/>
    <col min="4" max="4" width="23" style="13" customWidth="1"/>
    <col min="5" max="5" width="14.44140625" style="14" customWidth="1"/>
    <col min="6" max="6" width="9" style="19" customWidth="1"/>
    <col min="7" max="7" width="4.55468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349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350</v>
      </c>
      <c r="D3" s="13" t="s">
        <v>351</v>
      </c>
      <c r="E3" s="14" t="s">
        <v>50</v>
      </c>
      <c r="F3" s="19" t="s">
        <v>51</v>
      </c>
      <c r="G3" s="13">
        <v>13</v>
      </c>
      <c r="H3" s="15">
        <v>53</v>
      </c>
    </row>
    <row r="4" spans="1:8" x14ac:dyDescent="0.4">
      <c r="G4" s="13">
        <f>SUM(G3)</f>
        <v>13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2918-8526-4B56-B212-7704158C8EBC}">
  <dimension ref="A1:H40"/>
  <sheetViews>
    <sheetView topLeftCell="B24" workbookViewId="0">
      <selection activeCell="G40" sqref="G40"/>
    </sheetView>
  </sheetViews>
  <sheetFormatPr defaultColWidth="11.5546875" defaultRowHeight="12" x14ac:dyDescent="0.4"/>
  <cols>
    <col min="1" max="1" width="3.109375" style="13" customWidth="1"/>
    <col min="2" max="2" width="55.6640625" style="13" customWidth="1"/>
    <col min="3" max="3" width="19" style="13" customWidth="1"/>
    <col min="4" max="4" width="33" style="13" customWidth="1"/>
    <col min="5" max="5" width="14.44140625" style="14" customWidth="1"/>
    <col min="6" max="6" width="8.33203125" style="19" customWidth="1"/>
    <col min="7" max="7" width="4.55468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352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353</v>
      </c>
      <c r="C3" s="13" t="s">
        <v>354</v>
      </c>
      <c r="D3" s="13" t="s">
        <v>355</v>
      </c>
      <c r="E3" s="14">
        <f>DATE(1980,7,16)</f>
        <v>29418</v>
      </c>
      <c r="F3" s="19" t="s">
        <v>51</v>
      </c>
      <c r="G3" s="13">
        <v>17</v>
      </c>
      <c r="H3" s="15">
        <v>53</v>
      </c>
    </row>
    <row r="4" spans="1:8" s="41" customFormat="1" x14ac:dyDescent="0.4">
      <c r="A4" s="39">
        <v>2</v>
      </c>
      <c r="B4" s="39" t="s">
        <v>356</v>
      </c>
      <c r="C4" s="39"/>
      <c r="D4" s="39" t="s">
        <v>355</v>
      </c>
      <c r="E4" s="56" t="s">
        <v>50</v>
      </c>
      <c r="F4" s="40" t="s">
        <v>51</v>
      </c>
      <c r="G4" s="39">
        <v>35</v>
      </c>
      <c r="H4" s="41">
        <v>53</v>
      </c>
    </row>
    <row r="5" spans="1:8" x14ac:dyDescent="0.4">
      <c r="A5" s="13">
        <v>3</v>
      </c>
      <c r="B5" s="13" t="s">
        <v>357</v>
      </c>
      <c r="C5" s="13" t="s">
        <v>358</v>
      </c>
      <c r="D5" s="13" t="s">
        <v>355</v>
      </c>
      <c r="E5" s="14">
        <f>DATE(2001,2,16)</f>
        <v>36938</v>
      </c>
      <c r="F5" s="19" t="s">
        <v>51</v>
      </c>
      <c r="G5" s="13">
        <v>26</v>
      </c>
      <c r="H5" s="15">
        <v>53</v>
      </c>
    </row>
    <row r="6" spans="1:8" s="41" customFormat="1" x14ac:dyDescent="0.4">
      <c r="A6" s="39">
        <v>4</v>
      </c>
      <c r="B6" s="39" t="s">
        <v>359</v>
      </c>
      <c r="C6" s="39" t="s">
        <v>358</v>
      </c>
      <c r="D6" s="39" t="s">
        <v>355</v>
      </c>
      <c r="E6" s="56">
        <f>DATE(2002,5,8)</f>
        <v>37384</v>
      </c>
      <c r="F6" s="40" t="s">
        <v>51</v>
      </c>
      <c r="G6" s="39">
        <v>18</v>
      </c>
      <c r="H6" s="41">
        <v>53</v>
      </c>
    </row>
    <row r="7" spans="1:8" x14ac:dyDescent="0.4">
      <c r="A7" s="13">
        <v>5</v>
      </c>
      <c r="B7" s="13" t="s">
        <v>360</v>
      </c>
      <c r="C7" s="13" t="s">
        <v>358</v>
      </c>
      <c r="D7" s="13" t="s">
        <v>355</v>
      </c>
      <c r="E7" s="14">
        <f>DATE(2004,3,31)</f>
        <v>38077</v>
      </c>
      <c r="F7" s="19" t="s">
        <v>51</v>
      </c>
      <c r="G7" s="13">
        <v>11</v>
      </c>
      <c r="H7" s="15">
        <v>53</v>
      </c>
    </row>
    <row r="8" spans="1:8" s="41" customFormat="1" x14ac:dyDescent="0.4">
      <c r="A8" s="39">
        <v>6</v>
      </c>
      <c r="B8" s="39" t="s">
        <v>361</v>
      </c>
      <c r="C8" s="39" t="s">
        <v>138</v>
      </c>
      <c r="D8" s="39" t="s">
        <v>362</v>
      </c>
      <c r="E8" s="56">
        <f>DATE(2005,3,18)</f>
        <v>38429</v>
      </c>
      <c r="F8" s="40" t="s">
        <v>51</v>
      </c>
      <c r="G8" s="39">
        <v>19</v>
      </c>
      <c r="H8" s="41">
        <v>53</v>
      </c>
    </row>
    <row r="9" spans="1:8" x14ac:dyDescent="0.4">
      <c r="A9" s="13">
        <v>7</v>
      </c>
      <c r="B9" s="13" t="s">
        <v>363</v>
      </c>
      <c r="D9" s="13" t="s">
        <v>355</v>
      </c>
      <c r="E9" s="14">
        <f>DATE(1993,1,22)</f>
        <v>33991</v>
      </c>
      <c r="F9" s="19" t="s">
        <v>51</v>
      </c>
      <c r="G9" s="13">
        <v>44</v>
      </c>
      <c r="H9" s="15">
        <v>53</v>
      </c>
    </row>
    <row r="10" spans="1:8" s="41" customFormat="1" x14ac:dyDescent="0.4">
      <c r="A10" s="39">
        <v>8</v>
      </c>
      <c r="B10" s="39" t="s">
        <v>364</v>
      </c>
      <c r="C10" s="39"/>
      <c r="D10" s="39" t="s">
        <v>365</v>
      </c>
      <c r="E10" s="56">
        <f>DATE(1991,11,5)</f>
        <v>33547</v>
      </c>
      <c r="F10" s="40" t="s">
        <v>51</v>
      </c>
      <c r="G10" s="39">
        <v>30</v>
      </c>
      <c r="H10" s="41">
        <v>53</v>
      </c>
    </row>
    <row r="11" spans="1:8" x14ac:dyDescent="0.4">
      <c r="A11" s="13">
        <v>9</v>
      </c>
      <c r="B11" s="13" t="s">
        <v>366</v>
      </c>
      <c r="D11" s="13" t="s">
        <v>367</v>
      </c>
      <c r="E11" s="14">
        <f>DATE(1993,3,10)</f>
        <v>34038</v>
      </c>
      <c r="F11" s="19" t="s">
        <v>51</v>
      </c>
      <c r="G11" s="13">
        <v>18</v>
      </c>
      <c r="H11" s="15">
        <v>53</v>
      </c>
    </row>
    <row r="12" spans="1:8" s="41" customFormat="1" x14ac:dyDescent="0.4">
      <c r="A12" s="39">
        <v>10</v>
      </c>
      <c r="B12" s="39" t="s">
        <v>276</v>
      </c>
      <c r="C12" s="39"/>
      <c r="D12" s="39"/>
      <c r="E12" s="56">
        <f>DATE(2005,2,2)</f>
        <v>38385</v>
      </c>
      <c r="F12" s="40" t="s">
        <v>87</v>
      </c>
      <c r="G12" s="39">
        <v>4</v>
      </c>
      <c r="H12" s="41">
        <v>53</v>
      </c>
    </row>
    <row r="13" spans="1:8" x14ac:dyDescent="0.4">
      <c r="A13" s="13">
        <v>11</v>
      </c>
      <c r="B13" s="13" t="s">
        <v>174</v>
      </c>
      <c r="C13" s="13" t="s">
        <v>77</v>
      </c>
      <c r="D13" s="13" t="s">
        <v>368</v>
      </c>
      <c r="E13" s="14" t="s">
        <v>369</v>
      </c>
      <c r="F13" s="19" t="s">
        <v>51</v>
      </c>
      <c r="G13" s="13">
        <v>1</v>
      </c>
      <c r="H13" s="15">
        <v>53</v>
      </c>
    </row>
    <row r="14" spans="1:8" x14ac:dyDescent="0.4">
      <c r="B14" s="13" t="s">
        <v>115</v>
      </c>
      <c r="C14" s="13" t="s">
        <v>113</v>
      </c>
      <c r="D14" s="13" t="s">
        <v>368</v>
      </c>
      <c r="E14" s="14">
        <f>DATE(2001,10,1)</f>
        <v>37165</v>
      </c>
      <c r="F14" s="19" t="s">
        <v>51</v>
      </c>
      <c r="G14" s="13">
        <v>10</v>
      </c>
      <c r="H14" s="15">
        <v>53</v>
      </c>
    </row>
    <row r="15" spans="1:8" s="41" customFormat="1" x14ac:dyDescent="0.4">
      <c r="A15" s="39">
        <v>12</v>
      </c>
      <c r="B15" s="39" t="s">
        <v>115</v>
      </c>
      <c r="C15" s="39" t="s">
        <v>113</v>
      </c>
      <c r="D15" s="39" t="s">
        <v>368</v>
      </c>
      <c r="E15" s="56">
        <f>DATE(2003,1,20)</f>
        <v>37641</v>
      </c>
      <c r="F15" s="40" t="s">
        <v>51</v>
      </c>
      <c r="G15" s="39">
        <v>1</v>
      </c>
      <c r="H15" s="41">
        <v>53</v>
      </c>
    </row>
    <row r="16" spans="1:8" s="41" customFormat="1" x14ac:dyDescent="0.4">
      <c r="A16" s="39"/>
      <c r="B16" s="39"/>
      <c r="C16" s="39"/>
      <c r="D16" s="39"/>
      <c r="E16" s="56">
        <f>DATE(2003,1,21)</f>
        <v>37642</v>
      </c>
      <c r="F16" s="40" t="s">
        <v>51</v>
      </c>
      <c r="G16" s="39">
        <v>1</v>
      </c>
      <c r="H16" s="41">
        <v>53</v>
      </c>
    </row>
    <row r="17" spans="1:8" s="41" customFormat="1" x14ac:dyDescent="0.4">
      <c r="A17" s="39"/>
      <c r="B17" s="39"/>
      <c r="C17" s="39"/>
      <c r="D17" s="39"/>
      <c r="E17" s="56">
        <f>DATE(2003,1,22)</f>
        <v>37643</v>
      </c>
      <c r="F17" s="40" t="s">
        <v>51</v>
      </c>
      <c r="G17" s="39">
        <v>1</v>
      </c>
      <c r="H17" s="41">
        <v>53</v>
      </c>
    </row>
    <row r="18" spans="1:8" s="41" customFormat="1" x14ac:dyDescent="0.4">
      <c r="A18" s="39"/>
      <c r="B18" s="39"/>
      <c r="C18" s="39"/>
      <c r="D18" s="39"/>
      <c r="E18" s="56">
        <f>DATE(2003,1,23)</f>
        <v>37644</v>
      </c>
      <c r="F18" s="40" t="s">
        <v>51</v>
      </c>
      <c r="G18" s="39">
        <v>17</v>
      </c>
      <c r="H18" s="41">
        <v>53</v>
      </c>
    </row>
    <row r="19" spans="1:8" s="41" customFormat="1" x14ac:dyDescent="0.4">
      <c r="A19" s="39"/>
      <c r="B19" s="39"/>
      <c r="C19" s="39"/>
      <c r="D19" s="39"/>
      <c r="E19" s="56">
        <f>DATE(2003,1,24)</f>
        <v>37645</v>
      </c>
      <c r="F19" s="40" t="s">
        <v>51</v>
      </c>
      <c r="G19" s="39">
        <v>1</v>
      </c>
      <c r="H19" s="41">
        <v>53</v>
      </c>
    </row>
    <row r="20" spans="1:8" s="41" customFormat="1" x14ac:dyDescent="0.4">
      <c r="A20" s="39"/>
      <c r="B20" s="39"/>
      <c r="C20" s="39"/>
      <c r="D20" s="39"/>
      <c r="E20" s="56">
        <f>DATE(2003,1,25)</f>
        <v>37646</v>
      </c>
      <c r="F20" s="40" t="s">
        <v>51</v>
      </c>
      <c r="G20" s="39">
        <v>5</v>
      </c>
      <c r="H20" s="41">
        <v>53</v>
      </c>
    </row>
    <row r="21" spans="1:8" s="41" customFormat="1" x14ac:dyDescent="0.4">
      <c r="A21" s="39"/>
      <c r="B21" s="39"/>
      <c r="C21" s="39"/>
      <c r="D21" s="39"/>
      <c r="E21" s="56">
        <f>DATE(2003,1,26)</f>
        <v>37647</v>
      </c>
      <c r="F21" s="40" t="s">
        <v>51</v>
      </c>
      <c r="G21" s="39">
        <v>1</v>
      </c>
      <c r="H21" s="41">
        <v>53</v>
      </c>
    </row>
    <row r="22" spans="1:8" s="41" customFormat="1" x14ac:dyDescent="0.4">
      <c r="A22" s="39"/>
      <c r="B22" s="39"/>
      <c r="C22" s="39"/>
      <c r="D22" s="39"/>
      <c r="E22" s="56">
        <f>DATE(2003,1,27)</f>
        <v>37648</v>
      </c>
      <c r="F22" s="40" t="s">
        <v>51</v>
      </c>
      <c r="G22" s="39">
        <v>6</v>
      </c>
      <c r="H22" s="41">
        <v>53</v>
      </c>
    </row>
    <row r="23" spans="1:8" s="41" customFormat="1" x14ac:dyDescent="0.4">
      <c r="A23" s="39"/>
      <c r="B23" s="39"/>
      <c r="C23" s="39"/>
      <c r="D23" s="39"/>
      <c r="E23" s="56">
        <f>DATE(2003,1,28)</f>
        <v>37649</v>
      </c>
      <c r="F23" s="40" t="s">
        <v>51</v>
      </c>
      <c r="G23" s="39">
        <v>1</v>
      </c>
      <c r="H23" s="41">
        <v>53</v>
      </c>
    </row>
    <row r="24" spans="1:8" s="41" customFormat="1" x14ac:dyDescent="0.4">
      <c r="A24" s="39"/>
      <c r="B24" s="39"/>
      <c r="C24" s="39"/>
      <c r="D24" s="39"/>
      <c r="E24" s="56">
        <f>DATE(2003,1,29)</f>
        <v>37650</v>
      </c>
      <c r="F24" s="40" t="s">
        <v>51</v>
      </c>
      <c r="G24" s="39">
        <v>1</v>
      </c>
      <c r="H24" s="41">
        <v>53</v>
      </c>
    </row>
    <row r="25" spans="1:8" s="41" customFormat="1" x14ac:dyDescent="0.4">
      <c r="A25" s="39"/>
      <c r="B25" s="39"/>
      <c r="C25" s="39"/>
      <c r="D25" s="39"/>
      <c r="E25" s="56">
        <f>DATE(2003,1,30)</f>
        <v>37651</v>
      </c>
      <c r="F25" s="40" t="s">
        <v>51</v>
      </c>
      <c r="G25" s="39">
        <v>1</v>
      </c>
      <c r="H25" s="41">
        <v>53</v>
      </c>
    </row>
    <row r="26" spans="1:8" x14ac:dyDescent="0.4">
      <c r="A26" s="13">
        <v>13</v>
      </c>
      <c r="B26" s="13" t="s">
        <v>174</v>
      </c>
      <c r="C26" s="13" t="s">
        <v>208</v>
      </c>
      <c r="D26" s="13" t="s">
        <v>368</v>
      </c>
      <c r="E26" s="14" t="s">
        <v>370</v>
      </c>
      <c r="F26" s="19" t="s">
        <v>51</v>
      </c>
      <c r="G26" s="13">
        <v>1</v>
      </c>
      <c r="H26" s="15">
        <v>53</v>
      </c>
    </row>
    <row r="27" spans="1:8" x14ac:dyDescent="0.4">
      <c r="B27" s="13" t="s">
        <v>115</v>
      </c>
      <c r="C27" s="13" t="s">
        <v>113</v>
      </c>
      <c r="D27" s="13" t="s">
        <v>368</v>
      </c>
      <c r="E27" s="14">
        <f>DATE(2003,2,1)</f>
        <v>37653</v>
      </c>
      <c r="F27" s="19" t="s">
        <v>51</v>
      </c>
      <c r="G27" s="13">
        <v>1</v>
      </c>
      <c r="H27" s="15">
        <v>53</v>
      </c>
    </row>
    <row r="28" spans="1:8" x14ac:dyDescent="0.4">
      <c r="E28" s="14">
        <f>DATE(2003,2,9)</f>
        <v>37661</v>
      </c>
      <c r="F28" s="19" t="s">
        <v>51</v>
      </c>
      <c r="G28" s="13">
        <v>22</v>
      </c>
      <c r="H28" s="15">
        <v>53</v>
      </c>
    </row>
    <row r="29" spans="1:8" x14ac:dyDescent="0.4">
      <c r="E29" s="14">
        <f>DATE(2003,2,10)</f>
        <v>37662</v>
      </c>
      <c r="F29" s="19" t="s">
        <v>51</v>
      </c>
      <c r="G29" s="13">
        <v>9</v>
      </c>
      <c r="H29" s="15">
        <v>53</v>
      </c>
    </row>
    <row r="30" spans="1:8" x14ac:dyDescent="0.4">
      <c r="E30" s="14">
        <f>DATE(2003,2,17)</f>
        <v>37669</v>
      </c>
      <c r="F30" s="19" t="s">
        <v>51</v>
      </c>
      <c r="G30" s="13">
        <v>13</v>
      </c>
      <c r="H30" s="15">
        <v>53</v>
      </c>
    </row>
    <row r="31" spans="1:8" x14ac:dyDescent="0.4">
      <c r="E31" s="14">
        <f>DATE(2003,2,22)</f>
        <v>37674</v>
      </c>
      <c r="F31" s="19" t="s">
        <v>51</v>
      </c>
      <c r="G31" s="13">
        <v>19</v>
      </c>
      <c r="H31" s="15">
        <v>53</v>
      </c>
    </row>
    <row r="32" spans="1:8" x14ac:dyDescent="0.4">
      <c r="E32" s="14">
        <f>DATE(2003,2,25)</f>
        <v>37677</v>
      </c>
      <c r="F32" s="19" t="s">
        <v>275</v>
      </c>
      <c r="G32" s="13">
        <v>25</v>
      </c>
      <c r="H32" s="15">
        <v>53</v>
      </c>
    </row>
    <row r="33" spans="1:8" x14ac:dyDescent="0.4">
      <c r="E33" s="14">
        <f>DATE(2003,2,26)</f>
        <v>37678</v>
      </c>
      <c r="F33" s="19" t="s">
        <v>275</v>
      </c>
      <c r="G33" s="13">
        <v>11</v>
      </c>
      <c r="H33" s="15">
        <v>53</v>
      </c>
    </row>
    <row r="34" spans="1:8" x14ac:dyDescent="0.4">
      <c r="E34" s="14">
        <f>DATE(2003,2,27)</f>
        <v>37679</v>
      </c>
      <c r="F34" s="19" t="s">
        <v>51</v>
      </c>
      <c r="G34" s="13">
        <v>1</v>
      </c>
      <c r="H34" s="15">
        <v>53</v>
      </c>
    </row>
    <row r="35" spans="1:8" s="41" customFormat="1" x14ac:dyDescent="0.4">
      <c r="A35" s="39">
        <v>14</v>
      </c>
      <c r="B35" s="39" t="s">
        <v>76</v>
      </c>
      <c r="C35" s="39" t="s">
        <v>208</v>
      </c>
      <c r="D35" s="39" t="s">
        <v>371</v>
      </c>
      <c r="E35" s="56" t="s">
        <v>148</v>
      </c>
      <c r="F35" s="40" t="s">
        <v>51</v>
      </c>
      <c r="G35" s="39">
        <v>1</v>
      </c>
      <c r="H35" s="41">
        <v>53</v>
      </c>
    </row>
    <row r="36" spans="1:8" s="41" customFormat="1" x14ac:dyDescent="0.4">
      <c r="A36" s="39"/>
      <c r="B36" s="39" t="s">
        <v>80</v>
      </c>
      <c r="C36" s="39" t="s">
        <v>75</v>
      </c>
      <c r="D36" s="39" t="s">
        <v>371</v>
      </c>
      <c r="E36" s="56">
        <f>DATE(2003,3,2)</f>
        <v>37682</v>
      </c>
      <c r="F36" s="40" t="s">
        <v>51</v>
      </c>
      <c r="G36" s="39">
        <v>20</v>
      </c>
      <c r="H36" s="41">
        <v>53</v>
      </c>
    </row>
    <row r="37" spans="1:8" s="41" customFormat="1" x14ac:dyDescent="0.4">
      <c r="A37" s="39"/>
      <c r="B37" s="39"/>
      <c r="C37" s="39"/>
      <c r="D37" s="39"/>
      <c r="E37" s="56">
        <f>DATE(2003,3,8)</f>
        <v>37688</v>
      </c>
      <c r="F37" s="40" t="s">
        <v>51</v>
      </c>
      <c r="G37" s="39">
        <v>18</v>
      </c>
      <c r="H37" s="41">
        <v>53</v>
      </c>
    </row>
    <row r="38" spans="1:8" s="41" customFormat="1" x14ac:dyDescent="0.4">
      <c r="A38" s="39"/>
      <c r="B38" s="39"/>
      <c r="C38" s="39"/>
      <c r="D38" s="39"/>
      <c r="E38" s="56">
        <f>DATE(2003,3,13)</f>
        <v>37693</v>
      </c>
      <c r="F38" s="40" t="s">
        <v>51</v>
      </c>
      <c r="G38" s="39">
        <v>20</v>
      </c>
      <c r="H38" s="41">
        <v>53</v>
      </c>
    </row>
    <row r="39" spans="1:8" s="41" customFormat="1" x14ac:dyDescent="0.4">
      <c r="A39" s="39"/>
      <c r="B39" s="39"/>
      <c r="C39" s="39"/>
      <c r="D39" s="39"/>
      <c r="E39" s="56">
        <f>DATE(2003,3,14)</f>
        <v>37694</v>
      </c>
      <c r="F39" s="40" t="s">
        <v>51</v>
      </c>
      <c r="G39" s="39">
        <v>34</v>
      </c>
      <c r="H39" s="41">
        <v>53</v>
      </c>
    </row>
    <row r="40" spans="1:8" x14ac:dyDescent="0.4">
      <c r="G40" s="13">
        <f>SUM(G3:G39)</f>
        <v>464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DB70-28E7-4E23-B1AF-996A0D2C53BE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1" style="13" customWidth="1"/>
    <col min="3" max="3" width="12.44140625" style="13" customWidth="1"/>
    <col min="4" max="4" width="26.21875" style="13" customWidth="1"/>
    <col min="5" max="5" width="14.6640625" style="19" customWidth="1"/>
    <col min="6" max="6" width="8.77734375" style="19" customWidth="1"/>
    <col min="7" max="7" width="4.33203125" style="13" customWidth="1"/>
    <col min="8" max="8" width="3.5546875" style="15" customWidth="1"/>
    <col min="9" max="16384" width="11.5546875" style="15"/>
  </cols>
  <sheetData>
    <row r="1" spans="1:8" s="21" customFormat="1" x14ac:dyDescent="0.4">
      <c r="A1" s="95" t="s">
        <v>372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373</v>
      </c>
      <c r="E3" s="19" t="s">
        <v>50</v>
      </c>
      <c r="F3" s="19" t="s">
        <v>51</v>
      </c>
      <c r="G3" s="13">
        <v>6</v>
      </c>
      <c r="H3" s="15">
        <v>54</v>
      </c>
    </row>
    <row r="4" spans="1:8" x14ac:dyDescent="0.4">
      <c r="G4" s="13">
        <f>SUM(G3)</f>
        <v>6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05E1E-0343-43C7-96C7-38579149FD81}">
  <dimension ref="A1:H13"/>
  <sheetViews>
    <sheetView workbookViewId="0">
      <selection activeCell="G13" sqref="G13"/>
    </sheetView>
  </sheetViews>
  <sheetFormatPr defaultColWidth="11.5546875" defaultRowHeight="12" x14ac:dyDescent="0.4"/>
  <cols>
    <col min="1" max="1" width="4.5546875" style="13" customWidth="1"/>
    <col min="2" max="2" width="35.5546875" style="13" customWidth="1"/>
    <col min="3" max="3" width="12.44140625" style="13" customWidth="1"/>
    <col min="4" max="4" width="19" style="13" customWidth="1"/>
    <col min="5" max="5" width="14.6640625" style="19" customWidth="1"/>
    <col min="6" max="6" width="7.6640625" style="19" customWidth="1"/>
    <col min="7" max="7" width="4.33203125" style="13" customWidth="1"/>
    <col min="8" max="8" width="4.109375" style="15" customWidth="1"/>
    <col min="9" max="16384" width="11.5546875" style="15"/>
  </cols>
  <sheetData>
    <row r="1" spans="1:8" s="21" customFormat="1" x14ac:dyDescent="0.4">
      <c r="A1" s="95" t="s">
        <v>374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147</v>
      </c>
      <c r="C3" s="13" t="s">
        <v>113</v>
      </c>
      <c r="E3" s="14">
        <f>DATE(2004,9,30)</f>
        <v>38260</v>
      </c>
      <c r="F3" s="19" t="s">
        <v>51</v>
      </c>
      <c r="G3" s="13">
        <v>2</v>
      </c>
      <c r="H3" s="15">
        <v>54</v>
      </c>
    </row>
    <row r="4" spans="1:8" s="18" customFormat="1" x14ac:dyDescent="0.4">
      <c r="A4" s="16">
        <v>2</v>
      </c>
      <c r="B4" s="16" t="s">
        <v>254</v>
      </c>
      <c r="C4" s="16" t="s">
        <v>208</v>
      </c>
      <c r="D4" s="16"/>
      <c r="E4" s="17" t="s">
        <v>176</v>
      </c>
      <c r="F4" s="46" t="s">
        <v>51</v>
      </c>
      <c r="G4" s="16">
        <v>1</v>
      </c>
      <c r="H4" s="18">
        <v>54</v>
      </c>
    </row>
    <row r="5" spans="1:8" s="18" customFormat="1" x14ac:dyDescent="0.4">
      <c r="A5" s="16"/>
      <c r="B5" s="16" t="s">
        <v>112</v>
      </c>
      <c r="C5" s="16" t="s">
        <v>113</v>
      </c>
      <c r="D5" s="16"/>
      <c r="E5" s="17">
        <f t="shared" ref="E5" si="0">DATE(2004,10,9)</f>
        <v>38269</v>
      </c>
      <c r="F5" s="46" t="s">
        <v>51</v>
      </c>
      <c r="G5" s="16">
        <v>1</v>
      </c>
      <c r="H5" s="18">
        <v>54</v>
      </c>
    </row>
    <row r="6" spans="1:8" s="18" customFormat="1" x14ac:dyDescent="0.4">
      <c r="A6" s="16"/>
      <c r="B6" s="16"/>
      <c r="C6" s="16"/>
      <c r="D6" s="16"/>
      <c r="E6" s="17">
        <f>DATE(2004,10,11)</f>
        <v>38271</v>
      </c>
      <c r="F6" s="46" t="s">
        <v>51</v>
      </c>
      <c r="G6" s="16">
        <v>3</v>
      </c>
      <c r="H6" s="18">
        <v>54</v>
      </c>
    </row>
    <row r="7" spans="1:8" s="18" customFormat="1" x14ac:dyDescent="0.4">
      <c r="A7" s="16"/>
      <c r="B7" s="16"/>
      <c r="C7" s="16"/>
      <c r="D7" s="16"/>
      <c r="E7" s="17">
        <f>DATE(2004,10,12)</f>
        <v>38272</v>
      </c>
      <c r="F7" s="46" t="s">
        <v>51</v>
      </c>
      <c r="G7" s="16">
        <v>3</v>
      </c>
      <c r="H7" s="18">
        <v>54</v>
      </c>
    </row>
    <row r="8" spans="1:8" s="18" customFormat="1" x14ac:dyDescent="0.4">
      <c r="A8" s="16"/>
      <c r="B8" s="16"/>
      <c r="C8" s="16"/>
      <c r="D8" s="16"/>
      <c r="E8" s="17">
        <f>DATE(2004,10,27)</f>
        <v>38287</v>
      </c>
      <c r="F8" s="46" t="s">
        <v>51</v>
      </c>
      <c r="G8" s="16">
        <v>1</v>
      </c>
      <c r="H8" s="18">
        <v>54</v>
      </c>
    </row>
    <row r="9" spans="1:8" s="18" customFormat="1" x14ac:dyDescent="0.4">
      <c r="A9" s="16"/>
      <c r="B9" s="35"/>
      <c r="C9" s="16"/>
      <c r="D9" s="16"/>
      <c r="E9" s="17">
        <f>DATE(2004,10,29)</f>
        <v>38289</v>
      </c>
      <c r="F9" s="46" t="s">
        <v>51</v>
      </c>
      <c r="G9" s="16">
        <v>4</v>
      </c>
      <c r="H9" s="18">
        <v>54</v>
      </c>
    </row>
    <row r="10" spans="1:8" s="18" customFormat="1" x14ac:dyDescent="0.4">
      <c r="A10" s="16"/>
      <c r="B10" s="16"/>
      <c r="C10" s="16"/>
      <c r="D10" s="16"/>
      <c r="E10" s="17">
        <f>DATE(2004,10,30)</f>
        <v>38290</v>
      </c>
      <c r="F10" s="46" t="s">
        <v>51</v>
      </c>
      <c r="G10" s="16">
        <v>1</v>
      </c>
      <c r="H10" s="18">
        <v>54</v>
      </c>
    </row>
    <row r="11" spans="1:8" s="18" customFormat="1" x14ac:dyDescent="0.4">
      <c r="A11" s="16"/>
      <c r="B11" s="16"/>
      <c r="C11" s="16"/>
      <c r="D11" s="16"/>
      <c r="E11" s="17">
        <f>DATE(2004,10,31)</f>
        <v>38291</v>
      </c>
      <c r="F11" s="46" t="s">
        <v>51</v>
      </c>
      <c r="G11" s="16">
        <v>2</v>
      </c>
      <c r="H11" s="18">
        <v>54</v>
      </c>
    </row>
    <row r="12" spans="1:8" x14ac:dyDescent="0.4">
      <c r="A12" s="13">
        <v>3</v>
      </c>
      <c r="B12" s="13" t="s">
        <v>257</v>
      </c>
      <c r="E12" s="14" t="s">
        <v>50</v>
      </c>
      <c r="F12" s="19" t="s">
        <v>245</v>
      </c>
      <c r="G12" s="13">
        <v>1</v>
      </c>
      <c r="H12" s="15">
        <v>54</v>
      </c>
    </row>
    <row r="13" spans="1:8" x14ac:dyDescent="0.4">
      <c r="G13" s="13">
        <f>SUM(G3:G11)</f>
        <v>18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7AC3-0C9A-4230-8A57-85A063560A1B}">
  <dimension ref="A1:H25"/>
  <sheetViews>
    <sheetView topLeftCell="A21" workbookViewId="0">
      <selection activeCell="G25" sqref="G25"/>
    </sheetView>
  </sheetViews>
  <sheetFormatPr defaultColWidth="11.5546875" defaultRowHeight="12" x14ac:dyDescent="0.2"/>
  <cols>
    <col min="1" max="1" width="3.44140625" style="13" customWidth="1"/>
    <col min="2" max="2" width="39.77734375" style="13" customWidth="1"/>
    <col min="3" max="3" width="14.44140625" style="13" customWidth="1"/>
    <col min="4" max="4" width="19" style="13" customWidth="1"/>
    <col min="5" max="5" width="11.33203125" style="14" customWidth="1"/>
    <col min="6" max="6" width="8.109375" style="88" customWidth="1"/>
    <col min="7" max="7" width="4.6640625" style="13" customWidth="1"/>
    <col min="8" max="8" width="3.77734375" style="15" customWidth="1"/>
    <col min="9" max="16384" width="11.5546875" style="15"/>
  </cols>
  <sheetData>
    <row r="1" spans="1:8" s="21" customFormat="1" x14ac:dyDescent="0.2">
      <c r="A1" s="95" t="s">
        <v>375</v>
      </c>
      <c r="B1" s="95"/>
      <c r="C1" s="95"/>
      <c r="E1" s="28"/>
      <c r="F1" s="84"/>
    </row>
    <row r="2" spans="1:8" s="12" customFormat="1" x14ac:dyDescent="0.2">
      <c r="A2" s="10" t="s">
        <v>0</v>
      </c>
      <c r="B2" s="10" t="s">
        <v>41</v>
      </c>
      <c r="C2" s="10" t="s">
        <v>42</v>
      </c>
      <c r="D2" s="10" t="s">
        <v>43</v>
      </c>
      <c r="E2" s="23" t="s">
        <v>44</v>
      </c>
      <c r="F2" s="85" t="s">
        <v>45</v>
      </c>
      <c r="G2" s="10" t="s">
        <v>46</v>
      </c>
      <c r="H2" s="12" t="s">
        <v>47</v>
      </c>
    </row>
    <row r="3" spans="1:8" x14ac:dyDescent="0.2">
      <c r="A3" s="15">
        <v>1</v>
      </c>
      <c r="B3" s="15" t="s">
        <v>254</v>
      </c>
      <c r="C3" s="15" t="s">
        <v>208</v>
      </c>
      <c r="D3" s="15"/>
      <c r="E3" s="26" t="s">
        <v>181</v>
      </c>
      <c r="F3" s="86" t="s">
        <v>51</v>
      </c>
      <c r="G3" s="15">
        <v>1</v>
      </c>
      <c r="H3" s="15">
        <v>54</v>
      </c>
    </row>
    <row r="4" spans="1:8" x14ac:dyDescent="0.2">
      <c r="A4" s="15"/>
      <c r="B4" s="15" t="s">
        <v>147</v>
      </c>
      <c r="C4" s="15" t="s">
        <v>113</v>
      </c>
      <c r="D4" s="15"/>
      <c r="E4" s="24">
        <f>DATE(2006,6,1)</f>
        <v>38869</v>
      </c>
      <c r="F4" s="86" t="s">
        <v>51</v>
      </c>
      <c r="G4" s="15">
        <v>1</v>
      </c>
      <c r="H4" s="15">
        <v>54</v>
      </c>
    </row>
    <row r="5" spans="1:8" x14ac:dyDescent="0.2">
      <c r="A5" s="15"/>
      <c r="B5" s="15"/>
      <c r="C5" s="15"/>
      <c r="D5" s="15"/>
      <c r="E5" s="24">
        <f>DATE(2006,6,9)</f>
        <v>38877</v>
      </c>
      <c r="F5" s="86" t="s">
        <v>51</v>
      </c>
      <c r="G5" s="15">
        <v>1</v>
      </c>
      <c r="H5" s="15">
        <v>54</v>
      </c>
    </row>
    <row r="6" spans="1:8" x14ac:dyDescent="0.2">
      <c r="A6" s="15"/>
      <c r="B6" s="15"/>
      <c r="C6" s="15"/>
      <c r="D6" s="15"/>
      <c r="E6" s="24">
        <f>DATE(2006,6,10)</f>
        <v>38878</v>
      </c>
      <c r="F6" s="86" t="s">
        <v>51</v>
      </c>
      <c r="G6" s="15">
        <v>1</v>
      </c>
      <c r="H6" s="15">
        <v>54</v>
      </c>
    </row>
    <row r="7" spans="1:8" x14ac:dyDescent="0.2">
      <c r="A7" s="15"/>
      <c r="B7" s="15"/>
      <c r="C7" s="15"/>
      <c r="D7" s="15"/>
      <c r="E7" s="24">
        <f>DATE(2006,6,12)</f>
        <v>38880</v>
      </c>
      <c r="F7" s="86" t="s">
        <v>51</v>
      </c>
      <c r="G7" s="15">
        <v>1</v>
      </c>
      <c r="H7" s="15">
        <v>54</v>
      </c>
    </row>
    <row r="8" spans="1:8" x14ac:dyDescent="0.2">
      <c r="A8" s="15"/>
      <c r="B8" s="15"/>
      <c r="C8" s="15"/>
      <c r="D8" s="15"/>
      <c r="E8" s="24">
        <f>DATE(2006,6,13)</f>
        <v>38881</v>
      </c>
      <c r="F8" s="86" t="s">
        <v>51</v>
      </c>
      <c r="G8" s="15">
        <v>1</v>
      </c>
      <c r="H8" s="15">
        <v>54</v>
      </c>
    </row>
    <row r="9" spans="1:8" x14ac:dyDescent="0.2">
      <c r="A9" s="15"/>
      <c r="B9" s="15"/>
      <c r="C9" s="15"/>
      <c r="D9" s="15"/>
      <c r="E9" s="24">
        <f>DATE(2006,6,14)</f>
        <v>38882</v>
      </c>
      <c r="F9" s="86" t="s">
        <v>51</v>
      </c>
      <c r="G9" s="15">
        <v>1</v>
      </c>
      <c r="H9" s="15">
        <v>54</v>
      </c>
    </row>
    <row r="10" spans="1:8" x14ac:dyDescent="0.2">
      <c r="A10" s="15"/>
      <c r="B10" s="15"/>
      <c r="C10" s="15"/>
      <c r="D10" s="15"/>
      <c r="E10" s="24">
        <f>DATE(2006,6,15)</f>
        <v>38883</v>
      </c>
      <c r="F10" s="86" t="s">
        <v>51</v>
      </c>
      <c r="G10" s="15">
        <v>1</v>
      </c>
      <c r="H10" s="15">
        <v>54</v>
      </c>
    </row>
    <row r="11" spans="1:8" x14ac:dyDescent="0.2">
      <c r="A11" s="15"/>
      <c r="B11" s="15"/>
      <c r="C11" s="15"/>
      <c r="D11" s="15"/>
      <c r="E11" s="24">
        <f>DATE(2006,6,16)</f>
        <v>38884</v>
      </c>
      <c r="F11" s="86" t="s">
        <v>51</v>
      </c>
      <c r="G11" s="15">
        <v>1</v>
      </c>
      <c r="H11" s="15">
        <v>54</v>
      </c>
    </row>
    <row r="12" spans="1:8" x14ac:dyDescent="0.2">
      <c r="A12" s="15"/>
      <c r="B12" s="15"/>
      <c r="C12" s="15"/>
      <c r="D12" s="15"/>
      <c r="E12" s="24">
        <f>DATE(2006,6,17)</f>
        <v>38885</v>
      </c>
      <c r="F12" s="86" t="s">
        <v>51</v>
      </c>
      <c r="G12" s="15">
        <v>1</v>
      </c>
      <c r="H12" s="15">
        <v>54</v>
      </c>
    </row>
    <row r="13" spans="1:8" x14ac:dyDescent="0.2">
      <c r="A13" s="15"/>
      <c r="B13" s="15"/>
      <c r="C13" s="15"/>
      <c r="D13" s="15"/>
      <c r="E13" s="24">
        <f>DATE(2006,6,18)</f>
        <v>38886</v>
      </c>
      <c r="F13" s="86" t="s">
        <v>51</v>
      </c>
      <c r="G13" s="15">
        <v>1</v>
      </c>
      <c r="H13" s="15">
        <v>54</v>
      </c>
    </row>
    <row r="14" spans="1:8" x14ac:dyDescent="0.2">
      <c r="A14" s="15"/>
      <c r="B14" s="15"/>
      <c r="C14" s="15"/>
      <c r="D14" s="15"/>
      <c r="E14" s="24">
        <f>DATE(2006,6,24)</f>
        <v>38892</v>
      </c>
      <c r="F14" s="86" t="s">
        <v>51</v>
      </c>
      <c r="G14" s="15">
        <v>1</v>
      </c>
      <c r="H14" s="15">
        <v>54</v>
      </c>
    </row>
    <row r="15" spans="1:8" x14ac:dyDescent="0.2">
      <c r="A15" s="15"/>
      <c r="B15" s="15"/>
      <c r="C15" s="15"/>
      <c r="D15" s="15"/>
      <c r="E15" s="24">
        <f>DATE(2006,6,25)</f>
        <v>38893</v>
      </c>
      <c r="F15" s="86" t="s">
        <v>51</v>
      </c>
      <c r="G15" s="15">
        <v>1</v>
      </c>
      <c r="H15" s="15">
        <v>54</v>
      </c>
    </row>
    <row r="16" spans="1:8" x14ac:dyDescent="0.2">
      <c r="A16" s="15"/>
      <c r="B16" s="15"/>
      <c r="C16" s="15"/>
      <c r="D16" s="15"/>
      <c r="E16" s="24">
        <f>DATE(2006,6,26)</f>
        <v>38894</v>
      </c>
      <c r="F16" s="86" t="s">
        <v>51</v>
      </c>
      <c r="G16" s="15">
        <v>1</v>
      </c>
      <c r="H16" s="15">
        <v>54</v>
      </c>
    </row>
    <row r="17" spans="1:8" x14ac:dyDescent="0.2">
      <c r="A17" s="15"/>
      <c r="B17" s="15"/>
      <c r="C17" s="15"/>
      <c r="D17" s="15"/>
      <c r="E17" s="24">
        <f>DATE(2006,6,27)</f>
        <v>38895</v>
      </c>
      <c r="F17" s="86" t="s">
        <v>51</v>
      </c>
      <c r="G17" s="15">
        <v>1</v>
      </c>
      <c r="H17" s="15">
        <v>54</v>
      </c>
    </row>
    <row r="18" spans="1:8" x14ac:dyDescent="0.2">
      <c r="A18" s="15"/>
      <c r="B18" s="15"/>
      <c r="C18" s="15"/>
      <c r="D18" s="15"/>
      <c r="E18" s="24">
        <f>DATE(2006,6,30)</f>
        <v>38898</v>
      </c>
      <c r="F18" s="86" t="s">
        <v>51</v>
      </c>
      <c r="G18" s="15">
        <v>2</v>
      </c>
      <c r="H18" s="15">
        <v>54</v>
      </c>
    </row>
    <row r="19" spans="1:8" s="18" customFormat="1" x14ac:dyDescent="0.2">
      <c r="A19" s="16">
        <v>2</v>
      </c>
      <c r="B19" s="16" t="s">
        <v>262</v>
      </c>
      <c r="C19" s="16" t="s">
        <v>208</v>
      </c>
      <c r="D19" s="16"/>
      <c r="E19" s="17" t="s">
        <v>182</v>
      </c>
      <c r="F19" s="87" t="s">
        <v>51</v>
      </c>
      <c r="G19" s="16">
        <v>1</v>
      </c>
      <c r="H19" s="18">
        <v>54</v>
      </c>
    </row>
    <row r="20" spans="1:8" s="18" customFormat="1" x14ac:dyDescent="0.2">
      <c r="A20" s="16"/>
      <c r="B20" s="16" t="s">
        <v>112</v>
      </c>
      <c r="C20" s="16" t="s">
        <v>113</v>
      </c>
      <c r="D20" s="16"/>
      <c r="E20" s="17">
        <f>DATE(2006,7,1)</f>
        <v>38899</v>
      </c>
      <c r="F20" s="87" t="s">
        <v>51</v>
      </c>
      <c r="G20" s="16">
        <v>1</v>
      </c>
      <c r="H20" s="18">
        <v>54</v>
      </c>
    </row>
    <row r="21" spans="1:8" s="18" customFormat="1" x14ac:dyDescent="0.2">
      <c r="A21" s="16"/>
      <c r="B21" s="16"/>
      <c r="C21" s="16"/>
      <c r="D21" s="16"/>
      <c r="E21" s="17">
        <f>DATE(2006,7,3)</f>
        <v>38901</v>
      </c>
      <c r="F21" s="87" t="s">
        <v>51</v>
      </c>
      <c r="G21" s="16">
        <v>1</v>
      </c>
      <c r="H21" s="18">
        <v>54</v>
      </c>
    </row>
    <row r="22" spans="1:8" s="18" customFormat="1" x14ac:dyDescent="0.2">
      <c r="A22" s="16"/>
      <c r="B22" s="16"/>
      <c r="C22" s="16"/>
      <c r="D22" s="16"/>
      <c r="E22" s="17">
        <f>DATE(2006,7,5)</f>
        <v>38903</v>
      </c>
      <c r="F22" s="87" t="s">
        <v>51</v>
      </c>
      <c r="G22" s="16">
        <v>1</v>
      </c>
      <c r="H22" s="18">
        <v>54</v>
      </c>
    </row>
    <row r="23" spans="1:8" s="18" customFormat="1" x14ac:dyDescent="0.2">
      <c r="A23" s="16"/>
      <c r="B23" s="16"/>
      <c r="C23" s="16"/>
      <c r="D23" s="16"/>
      <c r="E23" s="17">
        <f>DATE(2006,7,8)</f>
        <v>38906</v>
      </c>
      <c r="F23" s="87" t="s">
        <v>51</v>
      </c>
      <c r="G23" s="16">
        <v>2</v>
      </c>
      <c r="H23" s="18">
        <v>54</v>
      </c>
    </row>
    <row r="24" spans="1:8" x14ac:dyDescent="0.2">
      <c r="A24" s="13">
        <v>3</v>
      </c>
      <c r="B24" s="13" t="s">
        <v>346</v>
      </c>
      <c r="E24" s="14">
        <f>DATE(2006,10,5)</f>
        <v>38995</v>
      </c>
      <c r="F24" s="88" t="s">
        <v>87</v>
      </c>
      <c r="G24" s="13">
        <v>2</v>
      </c>
      <c r="H24" s="15">
        <v>54</v>
      </c>
    </row>
    <row r="25" spans="1:8" x14ac:dyDescent="0.2">
      <c r="G25" s="13">
        <f>SUM(G3:G24)</f>
        <v>25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BD5E-A69D-41FF-804A-CDDD6000F0E5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3.33203125" style="13" customWidth="1"/>
    <col min="3" max="3" width="18.6640625" style="13" customWidth="1"/>
    <col min="4" max="4" width="35" style="13" customWidth="1"/>
    <col min="5" max="5" width="10.109375" style="13" customWidth="1"/>
    <col min="6" max="6" width="7.88671875" style="13" customWidth="1"/>
    <col min="7" max="7" width="6.1093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376</v>
      </c>
      <c r="B1" s="95"/>
      <c r="C1" s="95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377</v>
      </c>
      <c r="E3" s="13" t="s">
        <v>50</v>
      </c>
      <c r="F3" s="19" t="s">
        <v>51</v>
      </c>
      <c r="G3" s="13">
        <v>8</v>
      </c>
      <c r="H3" s="15">
        <v>54</v>
      </c>
    </row>
    <row r="4" spans="1:8" x14ac:dyDescent="0.4">
      <c r="G4" s="13">
        <f>SUM(G3)</f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BF317-DCD9-470D-AA59-A01DFB64054F}">
  <dimension ref="A1:H105"/>
  <sheetViews>
    <sheetView workbookViewId="0">
      <selection activeCell="G105" sqref="G105"/>
    </sheetView>
  </sheetViews>
  <sheetFormatPr defaultColWidth="11.5546875" defaultRowHeight="12" x14ac:dyDescent="0.4"/>
  <cols>
    <col min="1" max="1" width="3" style="13" customWidth="1"/>
    <col min="2" max="2" width="44.6640625" style="13" customWidth="1"/>
    <col min="3" max="3" width="16.5546875" style="13" customWidth="1"/>
    <col min="4" max="4" width="22.21875" style="13" customWidth="1"/>
    <col min="5" max="5" width="13.5546875" style="14" customWidth="1"/>
    <col min="6" max="6" width="7.21875" style="19" customWidth="1"/>
    <col min="7" max="7" width="4.1093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59</v>
      </c>
      <c r="B1" s="95"/>
      <c r="C1" s="95"/>
      <c r="E1" s="28"/>
      <c r="F1" s="22"/>
    </row>
    <row r="2" spans="1:8" s="78" customFormat="1" x14ac:dyDescent="0.4">
      <c r="A2" s="78" t="s">
        <v>0</v>
      </c>
      <c r="B2" s="78" t="s">
        <v>41</v>
      </c>
      <c r="C2" s="78" t="s">
        <v>42</v>
      </c>
      <c r="D2" s="78" t="s">
        <v>43</v>
      </c>
      <c r="E2" s="80" t="s">
        <v>44</v>
      </c>
      <c r="F2" s="78" t="s">
        <v>45</v>
      </c>
      <c r="G2" s="78" t="s">
        <v>46</v>
      </c>
      <c r="H2" s="78" t="s">
        <v>47</v>
      </c>
    </row>
    <row r="3" spans="1:8" x14ac:dyDescent="0.4">
      <c r="A3" s="13">
        <v>1</v>
      </c>
      <c r="B3" s="13" t="s">
        <v>60</v>
      </c>
      <c r="C3" s="13" t="s">
        <v>61</v>
      </c>
      <c r="D3" s="13" t="s">
        <v>62</v>
      </c>
      <c r="E3" s="14">
        <f>DATE(1990,3,14)</f>
        <v>32946</v>
      </c>
      <c r="F3" s="19" t="s">
        <v>51</v>
      </c>
      <c r="G3" s="13">
        <v>17</v>
      </c>
      <c r="H3" s="15">
        <v>46</v>
      </c>
    </row>
    <row r="4" spans="1:8" s="18" customFormat="1" x14ac:dyDescent="0.4">
      <c r="A4" s="16">
        <v>2</v>
      </c>
      <c r="B4" s="16" t="s">
        <v>63</v>
      </c>
      <c r="C4" s="16" t="s">
        <v>64</v>
      </c>
      <c r="D4" s="16" t="s">
        <v>62</v>
      </c>
      <c r="E4" s="17">
        <f>DATE(1991,4,10)</f>
        <v>33338</v>
      </c>
      <c r="F4" s="46" t="s">
        <v>51</v>
      </c>
      <c r="G4" s="16">
        <v>17</v>
      </c>
      <c r="H4" s="18">
        <v>46</v>
      </c>
    </row>
    <row r="5" spans="1:8" x14ac:dyDescent="0.4">
      <c r="A5" s="13">
        <v>3</v>
      </c>
      <c r="B5" s="13" t="s">
        <v>65</v>
      </c>
      <c r="C5" s="13" t="s">
        <v>64</v>
      </c>
      <c r="D5" s="13" t="s">
        <v>62</v>
      </c>
      <c r="E5" s="14">
        <f>DATE(1992,2,26)</f>
        <v>33660</v>
      </c>
      <c r="F5" s="19" t="s">
        <v>51</v>
      </c>
      <c r="G5" s="13">
        <v>19</v>
      </c>
      <c r="H5" s="15">
        <v>46</v>
      </c>
    </row>
    <row r="6" spans="1:8" s="18" customFormat="1" x14ac:dyDescent="0.4">
      <c r="A6" s="16">
        <v>4</v>
      </c>
      <c r="B6" s="16" t="s">
        <v>53</v>
      </c>
      <c r="C6" s="16" t="s">
        <v>64</v>
      </c>
      <c r="D6" s="16" t="s">
        <v>62</v>
      </c>
      <c r="E6" s="17" t="s">
        <v>50</v>
      </c>
      <c r="F6" s="46" t="s">
        <v>51</v>
      </c>
      <c r="G6" s="16">
        <v>9</v>
      </c>
      <c r="H6" s="18">
        <v>46</v>
      </c>
    </row>
    <row r="7" spans="1:8" x14ac:dyDescent="0.4">
      <c r="A7" s="13">
        <v>5</v>
      </c>
      <c r="B7" s="13" t="s">
        <v>55</v>
      </c>
      <c r="C7" s="13" t="s">
        <v>64</v>
      </c>
      <c r="D7" s="13" t="s">
        <v>62</v>
      </c>
      <c r="E7" s="14">
        <f>DATE(1994,3,1)</f>
        <v>34394</v>
      </c>
      <c r="F7" s="19" t="s">
        <v>51</v>
      </c>
      <c r="G7" s="13">
        <v>16</v>
      </c>
      <c r="H7" s="15">
        <v>46</v>
      </c>
    </row>
    <row r="8" spans="1:8" s="18" customFormat="1" x14ac:dyDescent="0.4">
      <c r="A8" s="16">
        <v>6</v>
      </c>
      <c r="B8" s="16" t="s">
        <v>56</v>
      </c>
      <c r="C8" s="16" t="s">
        <v>66</v>
      </c>
      <c r="D8" s="16" t="s">
        <v>62</v>
      </c>
      <c r="E8" s="17">
        <f>DATE(1995,1,17)</f>
        <v>34716</v>
      </c>
      <c r="F8" s="46" t="s">
        <v>51</v>
      </c>
      <c r="G8" s="16">
        <v>20</v>
      </c>
      <c r="H8" s="18">
        <v>46</v>
      </c>
    </row>
    <row r="9" spans="1:8" x14ac:dyDescent="0.4">
      <c r="A9" s="13">
        <v>7</v>
      </c>
      <c r="B9" s="13" t="s">
        <v>67</v>
      </c>
      <c r="C9" s="13" t="s">
        <v>64</v>
      </c>
      <c r="D9" s="13" t="s">
        <v>62</v>
      </c>
      <c r="E9" s="14">
        <f>DATE(1996,1,14)</f>
        <v>35078</v>
      </c>
      <c r="F9" s="19" t="s">
        <v>51</v>
      </c>
      <c r="G9" s="13">
        <v>18</v>
      </c>
      <c r="H9" s="15">
        <v>46</v>
      </c>
    </row>
    <row r="10" spans="1:8" s="18" customFormat="1" x14ac:dyDescent="0.4">
      <c r="A10" s="16">
        <v>8</v>
      </c>
      <c r="B10" s="16" t="s">
        <v>68</v>
      </c>
      <c r="C10" s="16" t="s">
        <v>66</v>
      </c>
      <c r="D10" s="16" t="s">
        <v>62</v>
      </c>
      <c r="E10" s="17">
        <f>DATE(1997,10,23)</f>
        <v>35726</v>
      </c>
      <c r="F10" s="46" t="s">
        <v>51</v>
      </c>
      <c r="G10" s="16">
        <v>34</v>
      </c>
      <c r="H10" s="18">
        <v>46</v>
      </c>
    </row>
    <row r="11" spans="1:8" x14ac:dyDescent="0.4">
      <c r="A11" s="13">
        <v>9</v>
      </c>
      <c r="B11" s="13" t="s">
        <v>69</v>
      </c>
      <c r="C11" s="13" t="s">
        <v>70</v>
      </c>
      <c r="D11" s="13" t="s">
        <v>62</v>
      </c>
      <c r="E11" s="14">
        <f>DATE(1993,1,27)</f>
        <v>33996</v>
      </c>
      <c r="F11" s="19" t="s">
        <v>51</v>
      </c>
      <c r="G11" s="13">
        <v>65</v>
      </c>
      <c r="H11" s="15">
        <v>46</v>
      </c>
    </row>
    <row r="12" spans="1:8" s="18" customFormat="1" ht="24" x14ac:dyDescent="0.4">
      <c r="A12" s="16">
        <v>10</v>
      </c>
      <c r="B12" s="16" t="s">
        <v>71</v>
      </c>
      <c r="C12" s="16" t="s">
        <v>72</v>
      </c>
      <c r="D12" s="16" t="s">
        <v>62</v>
      </c>
      <c r="E12" s="17" t="s">
        <v>73</v>
      </c>
      <c r="F12" s="46" t="s">
        <v>51</v>
      </c>
      <c r="G12" s="16">
        <v>14</v>
      </c>
      <c r="H12" s="18">
        <v>46</v>
      </c>
    </row>
    <row r="13" spans="1:8" x14ac:dyDescent="0.4">
      <c r="A13" s="15">
        <v>11</v>
      </c>
      <c r="B13" s="13" t="s">
        <v>74</v>
      </c>
      <c r="C13" s="15" t="s">
        <v>75</v>
      </c>
      <c r="D13" s="15" t="s">
        <v>62</v>
      </c>
      <c r="E13" s="24">
        <f>DATE(1993,3,5)</f>
        <v>34033</v>
      </c>
      <c r="F13" s="29" t="s">
        <v>51</v>
      </c>
      <c r="G13" s="15">
        <v>11</v>
      </c>
      <c r="H13" s="15">
        <v>46</v>
      </c>
    </row>
    <row r="14" spans="1:8" x14ac:dyDescent="0.4">
      <c r="A14" s="15"/>
      <c r="C14" s="15"/>
      <c r="D14" s="15"/>
      <c r="E14" s="24">
        <f>DATE(1993,3,6)</f>
        <v>34034</v>
      </c>
      <c r="F14" s="29" t="s">
        <v>51</v>
      </c>
      <c r="G14" s="15">
        <v>10</v>
      </c>
      <c r="H14" s="15">
        <v>46</v>
      </c>
    </row>
    <row r="15" spans="1:8" x14ac:dyDescent="0.4">
      <c r="A15" s="15"/>
      <c r="C15" s="15"/>
      <c r="D15" s="15"/>
      <c r="E15" s="24">
        <f>DATE(1993,3,7)</f>
        <v>34035</v>
      </c>
      <c r="F15" s="29" t="s">
        <v>51</v>
      </c>
      <c r="G15" s="15">
        <v>5</v>
      </c>
      <c r="H15" s="15">
        <v>46</v>
      </c>
    </row>
    <row r="16" spans="1:8" x14ac:dyDescent="0.4">
      <c r="A16" s="15"/>
      <c r="C16" s="15"/>
      <c r="D16" s="15"/>
      <c r="E16" s="24">
        <f>DATE(1993,3,18)</f>
        <v>34046</v>
      </c>
      <c r="F16" s="29" t="s">
        <v>51</v>
      </c>
      <c r="G16" s="15">
        <v>10</v>
      </c>
      <c r="H16" s="15">
        <v>46</v>
      </c>
    </row>
    <row r="17" spans="1:8" s="18" customFormat="1" x14ac:dyDescent="0.4">
      <c r="A17" s="16">
        <v>12</v>
      </c>
      <c r="B17" s="16" t="s">
        <v>76</v>
      </c>
      <c r="C17" s="16" t="s">
        <v>77</v>
      </c>
      <c r="D17" s="16" t="s">
        <v>62</v>
      </c>
      <c r="E17" s="17" t="s">
        <v>78</v>
      </c>
      <c r="F17" s="46" t="s">
        <v>51</v>
      </c>
      <c r="G17" s="16">
        <v>1</v>
      </c>
      <c r="H17" s="18">
        <v>46</v>
      </c>
    </row>
    <row r="18" spans="1:8" s="18" customFormat="1" x14ac:dyDescent="0.4">
      <c r="A18" s="16"/>
      <c r="B18" s="16" t="s">
        <v>79</v>
      </c>
      <c r="C18" s="16" t="s">
        <v>75</v>
      </c>
      <c r="D18" s="16" t="s">
        <v>62</v>
      </c>
      <c r="E18" s="17">
        <f>DATE(1993,5,1)</f>
        <v>34090</v>
      </c>
      <c r="F18" s="46" t="s">
        <v>51</v>
      </c>
      <c r="G18" s="16">
        <v>7</v>
      </c>
      <c r="H18" s="18">
        <v>46</v>
      </c>
    </row>
    <row r="19" spans="1:8" s="18" customFormat="1" x14ac:dyDescent="0.4">
      <c r="A19" s="16"/>
      <c r="B19" s="16"/>
      <c r="C19" s="16"/>
      <c r="D19" s="16"/>
      <c r="E19" s="17">
        <f>DATE(1993,5,2)</f>
        <v>34091</v>
      </c>
      <c r="F19" s="46" t="s">
        <v>51</v>
      </c>
      <c r="G19" s="16">
        <v>7</v>
      </c>
      <c r="H19" s="18">
        <v>46</v>
      </c>
    </row>
    <row r="20" spans="1:8" s="18" customFormat="1" x14ac:dyDescent="0.4">
      <c r="A20" s="16"/>
      <c r="B20" s="16"/>
      <c r="C20" s="16"/>
      <c r="D20" s="16"/>
      <c r="E20" s="17">
        <f>DATE(1993,5,3)</f>
        <v>34092</v>
      </c>
      <c r="F20" s="46" t="s">
        <v>51</v>
      </c>
      <c r="G20" s="16">
        <v>6</v>
      </c>
      <c r="H20" s="18">
        <v>46</v>
      </c>
    </row>
    <row r="21" spans="1:8" s="18" customFormat="1" x14ac:dyDescent="0.4">
      <c r="A21" s="16"/>
      <c r="B21" s="16"/>
      <c r="C21" s="16"/>
      <c r="D21" s="16"/>
      <c r="E21" s="17">
        <f>DATE(1993,5,4)</f>
        <v>34093</v>
      </c>
      <c r="F21" s="46" t="s">
        <v>51</v>
      </c>
      <c r="G21" s="16">
        <v>10</v>
      </c>
      <c r="H21" s="18">
        <v>46</v>
      </c>
    </row>
    <row r="22" spans="1:8" s="18" customFormat="1" x14ac:dyDescent="0.4">
      <c r="A22" s="16"/>
      <c r="B22" s="16"/>
      <c r="C22" s="16"/>
      <c r="D22" s="16"/>
      <c r="E22" s="17">
        <f>DATE(1993,5,5)</f>
        <v>34094</v>
      </c>
      <c r="F22" s="46" t="s">
        <v>51</v>
      </c>
      <c r="G22" s="16">
        <v>11</v>
      </c>
      <c r="H22" s="18">
        <v>46</v>
      </c>
    </row>
    <row r="23" spans="1:8" s="18" customFormat="1" x14ac:dyDescent="0.4">
      <c r="A23" s="16"/>
      <c r="B23" s="16"/>
      <c r="C23" s="16"/>
      <c r="D23" s="16"/>
      <c r="E23" s="17">
        <f>DATE(1993,5,6)</f>
        <v>34095</v>
      </c>
      <c r="F23" s="46" t="s">
        <v>51</v>
      </c>
      <c r="G23" s="16">
        <v>6</v>
      </c>
      <c r="H23" s="18">
        <v>46</v>
      </c>
    </row>
    <row r="24" spans="1:8" s="18" customFormat="1" x14ac:dyDescent="0.4">
      <c r="A24" s="16"/>
      <c r="B24" s="16"/>
      <c r="C24" s="16"/>
      <c r="D24" s="16"/>
      <c r="E24" s="17">
        <f>DATE(1993,5,7)</f>
        <v>34096</v>
      </c>
      <c r="F24" s="46" t="s">
        <v>51</v>
      </c>
      <c r="G24" s="16">
        <v>7</v>
      </c>
      <c r="H24" s="18">
        <v>46</v>
      </c>
    </row>
    <row r="25" spans="1:8" s="18" customFormat="1" x14ac:dyDescent="0.4">
      <c r="A25" s="16"/>
      <c r="B25" s="16"/>
      <c r="C25" s="16"/>
      <c r="D25" s="16"/>
      <c r="E25" s="17">
        <f>DATE(1993,5,8)</f>
        <v>34097</v>
      </c>
      <c r="F25" s="46" t="s">
        <v>51</v>
      </c>
      <c r="G25" s="16">
        <v>6</v>
      </c>
      <c r="H25" s="18">
        <v>46</v>
      </c>
    </row>
    <row r="26" spans="1:8" s="18" customFormat="1" x14ac:dyDescent="0.4">
      <c r="A26" s="16"/>
      <c r="B26" s="16"/>
      <c r="C26" s="16"/>
      <c r="D26" s="16"/>
      <c r="E26" s="17">
        <f>DATE(1993,5,9)</f>
        <v>34098</v>
      </c>
      <c r="F26" s="46" t="s">
        <v>51</v>
      </c>
      <c r="G26" s="16">
        <v>5</v>
      </c>
      <c r="H26" s="18">
        <v>46</v>
      </c>
    </row>
    <row r="27" spans="1:8" s="18" customFormat="1" x14ac:dyDescent="0.4">
      <c r="A27" s="16"/>
      <c r="B27" s="16"/>
      <c r="C27" s="16"/>
      <c r="D27" s="16"/>
      <c r="E27" s="17">
        <f>DATE(1993,5,10)</f>
        <v>34099</v>
      </c>
      <c r="F27" s="46" t="s">
        <v>51</v>
      </c>
      <c r="G27" s="16">
        <v>5</v>
      </c>
      <c r="H27" s="18">
        <v>46</v>
      </c>
    </row>
    <row r="28" spans="1:8" s="18" customFormat="1" x14ac:dyDescent="0.4">
      <c r="A28" s="16"/>
      <c r="B28" s="16"/>
      <c r="C28" s="16"/>
      <c r="D28" s="16"/>
      <c r="E28" s="17">
        <f>DATE(1993,5,11)</f>
        <v>34100</v>
      </c>
      <c r="F28" s="46" t="s">
        <v>51</v>
      </c>
      <c r="G28" s="16">
        <v>6</v>
      </c>
      <c r="H28" s="18">
        <v>46</v>
      </c>
    </row>
    <row r="29" spans="1:8" s="18" customFormat="1" x14ac:dyDescent="0.4">
      <c r="A29" s="16"/>
      <c r="B29" s="16"/>
      <c r="C29" s="16"/>
      <c r="D29" s="16"/>
      <c r="E29" s="17">
        <f>DATE(1993,5,12)</f>
        <v>34101</v>
      </c>
      <c r="F29" s="46" t="s">
        <v>51</v>
      </c>
      <c r="G29" s="16">
        <v>8</v>
      </c>
      <c r="H29" s="18">
        <v>46</v>
      </c>
    </row>
    <row r="30" spans="1:8" s="18" customFormat="1" x14ac:dyDescent="0.4">
      <c r="A30" s="16"/>
      <c r="B30" s="16"/>
      <c r="C30" s="16"/>
      <c r="D30" s="16"/>
      <c r="E30" s="17">
        <f>DATE(1993,5,13)</f>
        <v>34102</v>
      </c>
      <c r="F30" s="46" t="s">
        <v>51</v>
      </c>
      <c r="G30" s="16">
        <v>8</v>
      </c>
      <c r="H30" s="18">
        <v>46</v>
      </c>
    </row>
    <row r="31" spans="1:8" s="18" customFormat="1" x14ac:dyDescent="0.4">
      <c r="A31" s="16"/>
      <c r="B31" s="16"/>
      <c r="C31" s="16"/>
      <c r="D31" s="16"/>
      <c r="E31" s="17">
        <f>DATE(1993,5,14)</f>
        <v>34103</v>
      </c>
      <c r="F31" s="46" t="s">
        <v>51</v>
      </c>
      <c r="G31" s="16">
        <v>7</v>
      </c>
      <c r="H31" s="18">
        <v>46</v>
      </c>
    </row>
    <row r="32" spans="1:8" s="18" customFormat="1" x14ac:dyDescent="0.4">
      <c r="A32" s="16"/>
      <c r="B32" s="16"/>
      <c r="C32" s="16"/>
      <c r="D32" s="16"/>
      <c r="E32" s="17">
        <f>DATE(1993,5,15)</f>
        <v>34104</v>
      </c>
      <c r="F32" s="46" t="s">
        <v>51</v>
      </c>
      <c r="G32" s="16">
        <v>6</v>
      </c>
      <c r="H32" s="18">
        <v>46</v>
      </c>
    </row>
    <row r="33" spans="1:8" s="18" customFormat="1" x14ac:dyDescent="0.4">
      <c r="A33" s="16"/>
      <c r="B33" s="16"/>
      <c r="C33" s="16"/>
      <c r="D33" s="16"/>
      <c r="E33" s="17">
        <f>DATE(1993,5,16)</f>
        <v>34105</v>
      </c>
      <c r="F33" s="46" t="s">
        <v>51</v>
      </c>
      <c r="G33" s="16">
        <v>9</v>
      </c>
      <c r="H33" s="18">
        <v>46</v>
      </c>
    </row>
    <row r="34" spans="1:8" s="18" customFormat="1" x14ac:dyDescent="0.4">
      <c r="A34" s="16"/>
      <c r="B34" s="16"/>
      <c r="C34" s="16"/>
      <c r="D34" s="16"/>
      <c r="E34" s="17">
        <f>DATE(1993,5,17)</f>
        <v>34106</v>
      </c>
      <c r="F34" s="46" t="s">
        <v>51</v>
      </c>
      <c r="G34" s="16">
        <v>9</v>
      </c>
      <c r="H34" s="18">
        <v>46</v>
      </c>
    </row>
    <row r="35" spans="1:8" s="18" customFormat="1" x14ac:dyDescent="0.4">
      <c r="A35" s="16"/>
      <c r="B35" s="16"/>
      <c r="C35" s="16"/>
      <c r="D35" s="16"/>
      <c r="E35" s="17">
        <f>DATE(1993,5,18)</f>
        <v>34107</v>
      </c>
      <c r="F35" s="46" t="s">
        <v>51</v>
      </c>
      <c r="G35" s="16">
        <v>10</v>
      </c>
      <c r="H35" s="18">
        <v>46</v>
      </c>
    </row>
    <row r="36" spans="1:8" s="18" customFormat="1" x14ac:dyDescent="0.4">
      <c r="A36" s="16"/>
      <c r="B36" s="16"/>
      <c r="C36" s="16"/>
      <c r="D36" s="16"/>
      <c r="E36" s="17">
        <f>DATE(1993,5,19)</f>
        <v>34108</v>
      </c>
      <c r="F36" s="46" t="s">
        <v>51</v>
      </c>
      <c r="G36" s="16">
        <v>9</v>
      </c>
      <c r="H36" s="18">
        <v>46</v>
      </c>
    </row>
    <row r="37" spans="1:8" s="18" customFormat="1" x14ac:dyDescent="0.4">
      <c r="A37" s="16"/>
      <c r="B37" s="16"/>
      <c r="C37" s="16"/>
      <c r="D37" s="16"/>
      <c r="E37" s="17">
        <f>DATE(1993,5,20)</f>
        <v>34109</v>
      </c>
      <c r="F37" s="46" t="s">
        <v>51</v>
      </c>
      <c r="G37" s="16">
        <v>12</v>
      </c>
      <c r="H37" s="18">
        <v>46</v>
      </c>
    </row>
    <row r="38" spans="1:8" s="18" customFormat="1" x14ac:dyDescent="0.4">
      <c r="A38" s="16"/>
      <c r="B38" s="16"/>
      <c r="C38" s="16"/>
      <c r="D38" s="16"/>
      <c r="E38" s="17">
        <f>DATE(1993,5,21)</f>
        <v>34110</v>
      </c>
      <c r="F38" s="46" t="s">
        <v>51</v>
      </c>
      <c r="G38" s="16">
        <v>7</v>
      </c>
      <c r="H38" s="18">
        <v>46</v>
      </c>
    </row>
    <row r="39" spans="1:8" s="18" customFormat="1" x14ac:dyDescent="0.4">
      <c r="A39" s="16"/>
      <c r="B39" s="16"/>
      <c r="C39" s="16"/>
      <c r="D39" s="16"/>
      <c r="E39" s="17">
        <f>DATE(1993,5,22)</f>
        <v>34111</v>
      </c>
      <c r="F39" s="46" t="s">
        <v>51</v>
      </c>
      <c r="G39" s="16">
        <v>4</v>
      </c>
      <c r="H39" s="18">
        <v>46</v>
      </c>
    </row>
    <row r="40" spans="1:8" s="18" customFormat="1" x14ac:dyDescent="0.4">
      <c r="A40" s="16"/>
      <c r="B40" s="16"/>
      <c r="C40" s="16"/>
      <c r="D40" s="16"/>
      <c r="E40" s="17">
        <f>DATE(1993,5,23)</f>
        <v>34112</v>
      </c>
      <c r="F40" s="46" t="s">
        <v>51</v>
      </c>
      <c r="G40" s="16">
        <v>6</v>
      </c>
      <c r="H40" s="18">
        <v>46</v>
      </c>
    </row>
    <row r="41" spans="1:8" s="18" customFormat="1" x14ac:dyDescent="0.4">
      <c r="A41" s="16"/>
      <c r="B41" s="16"/>
      <c r="C41" s="16"/>
      <c r="D41" s="16"/>
      <c r="E41" s="17">
        <f>DATE(1993,5,24)</f>
        <v>34113</v>
      </c>
      <c r="F41" s="46" t="s">
        <v>51</v>
      </c>
      <c r="G41" s="16">
        <v>6</v>
      </c>
      <c r="H41" s="18">
        <v>46</v>
      </c>
    </row>
    <row r="42" spans="1:8" x14ac:dyDescent="0.4">
      <c r="A42" s="13">
        <v>13</v>
      </c>
      <c r="B42" s="13" t="s">
        <v>80</v>
      </c>
      <c r="C42" s="13" t="s">
        <v>75</v>
      </c>
      <c r="E42" s="24">
        <f>DATE(1993,7,9)</f>
        <v>34159</v>
      </c>
      <c r="F42" s="19" t="s">
        <v>51</v>
      </c>
      <c r="G42" s="13">
        <v>1</v>
      </c>
      <c r="H42" s="15">
        <v>46</v>
      </c>
    </row>
    <row r="43" spans="1:8" x14ac:dyDescent="0.4">
      <c r="E43" s="24">
        <f>DATE(1993,7,10)</f>
        <v>34160</v>
      </c>
      <c r="F43" s="19" t="s">
        <v>51</v>
      </c>
      <c r="G43" s="13">
        <v>5</v>
      </c>
      <c r="H43" s="15">
        <v>46</v>
      </c>
    </row>
    <row r="44" spans="1:8" x14ac:dyDescent="0.4">
      <c r="E44" s="24">
        <f>DATE(1993,7,11)</f>
        <v>34161</v>
      </c>
      <c r="F44" s="19" t="s">
        <v>51</v>
      </c>
      <c r="G44" s="13">
        <v>10</v>
      </c>
      <c r="H44" s="15">
        <v>46</v>
      </c>
    </row>
    <row r="45" spans="1:8" x14ac:dyDescent="0.4">
      <c r="E45" s="24">
        <f>DATE(1993,7,12)</f>
        <v>34162</v>
      </c>
      <c r="F45" s="19" t="s">
        <v>51</v>
      </c>
      <c r="G45" s="13">
        <v>6</v>
      </c>
      <c r="H45" s="15">
        <v>46</v>
      </c>
    </row>
    <row r="46" spans="1:8" x14ac:dyDescent="0.4">
      <c r="E46" s="24">
        <f>DATE(1993,7,13)</f>
        <v>34163</v>
      </c>
      <c r="F46" s="19" t="s">
        <v>51</v>
      </c>
      <c r="G46" s="13">
        <v>4</v>
      </c>
      <c r="H46" s="15">
        <v>46</v>
      </c>
    </row>
    <row r="47" spans="1:8" x14ac:dyDescent="0.4">
      <c r="E47" s="24">
        <f>DATE(1993,7,14)</f>
        <v>34164</v>
      </c>
      <c r="F47" s="19" t="s">
        <v>51</v>
      </c>
      <c r="G47" s="13">
        <v>9</v>
      </c>
      <c r="H47" s="15">
        <v>46</v>
      </c>
    </row>
    <row r="48" spans="1:8" x14ac:dyDescent="0.4">
      <c r="E48" s="24">
        <f>DATE(1993,7,15)</f>
        <v>34165</v>
      </c>
      <c r="F48" s="19" t="s">
        <v>51</v>
      </c>
      <c r="G48" s="13">
        <v>16</v>
      </c>
      <c r="H48" s="15">
        <v>46</v>
      </c>
    </row>
    <row r="49" spans="1:8" x14ac:dyDescent="0.4">
      <c r="E49" s="24">
        <f>DATE(1993,7,16)</f>
        <v>34166</v>
      </c>
      <c r="F49" s="19" t="s">
        <v>51</v>
      </c>
      <c r="G49" s="13">
        <v>8</v>
      </c>
      <c r="H49" s="15">
        <v>46</v>
      </c>
    </row>
    <row r="50" spans="1:8" x14ac:dyDescent="0.4">
      <c r="E50" s="24">
        <f>DATE(1993,7,17)</f>
        <v>34167</v>
      </c>
      <c r="F50" s="19" t="s">
        <v>51</v>
      </c>
      <c r="G50" s="13">
        <v>8</v>
      </c>
      <c r="H50" s="15">
        <v>46</v>
      </c>
    </row>
    <row r="51" spans="1:8" x14ac:dyDescent="0.4">
      <c r="E51" s="24">
        <f>DATE(1993,7,18)</f>
        <v>34168</v>
      </c>
      <c r="F51" s="19" t="s">
        <v>51</v>
      </c>
      <c r="G51" s="13">
        <v>7</v>
      </c>
      <c r="H51" s="15">
        <v>46</v>
      </c>
    </row>
    <row r="52" spans="1:8" x14ac:dyDescent="0.4">
      <c r="E52" s="24">
        <f>DATE(1993,7,19)</f>
        <v>34169</v>
      </c>
      <c r="F52" s="19" t="s">
        <v>51</v>
      </c>
      <c r="G52" s="13">
        <v>10</v>
      </c>
      <c r="H52" s="15">
        <v>46</v>
      </c>
    </row>
    <row r="53" spans="1:8" x14ac:dyDescent="0.4">
      <c r="E53" s="24">
        <f>DATE(1993,7,20)</f>
        <v>34170</v>
      </c>
      <c r="F53" s="19" t="s">
        <v>51</v>
      </c>
      <c r="G53" s="13">
        <v>9</v>
      </c>
      <c r="H53" s="15">
        <v>46</v>
      </c>
    </row>
    <row r="54" spans="1:8" x14ac:dyDescent="0.4">
      <c r="E54" s="24">
        <f>DATE(1993,7,21)</f>
        <v>34171</v>
      </c>
      <c r="F54" s="19" t="s">
        <v>51</v>
      </c>
      <c r="G54" s="13">
        <v>14</v>
      </c>
      <c r="H54" s="15">
        <v>46</v>
      </c>
    </row>
    <row r="55" spans="1:8" x14ac:dyDescent="0.4">
      <c r="E55" s="24">
        <f>DATE(1993,7,22)</f>
        <v>34172</v>
      </c>
      <c r="F55" s="19" t="s">
        <v>51</v>
      </c>
      <c r="G55" s="13">
        <v>7</v>
      </c>
      <c r="H55" s="15">
        <v>46</v>
      </c>
    </row>
    <row r="56" spans="1:8" x14ac:dyDescent="0.4">
      <c r="E56" s="24">
        <f>DATE(1993,7,23)</f>
        <v>34173</v>
      </c>
      <c r="F56" s="19" t="s">
        <v>51</v>
      </c>
      <c r="G56" s="13">
        <v>6</v>
      </c>
      <c r="H56" s="15">
        <v>46</v>
      </c>
    </row>
    <row r="57" spans="1:8" x14ac:dyDescent="0.4">
      <c r="E57" s="24">
        <f>DATE(1993,7,28)</f>
        <v>34178</v>
      </c>
      <c r="F57" s="19" t="s">
        <v>51</v>
      </c>
      <c r="G57" s="13">
        <v>9</v>
      </c>
      <c r="H57" s="15">
        <v>46</v>
      </c>
    </row>
    <row r="58" spans="1:8" x14ac:dyDescent="0.4">
      <c r="E58" s="24">
        <f>DATE(1993,7,29)</f>
        <v>34179</v>
      </c>
      <c r="F58" s="19" t="s">
        <v>51</v>
      </c>
      <c r="G58" s="13">
        <v>7</v>
      </c>
      <c r="H58" s="15">
        <v>46</v>
      </c>
    </row>
    <row r="59" spans="1:8" x14ac:dyDescent="0.4">
      <c r="E59" s="24">
        <f>DATE(1993,7,30)</f>
        <v>34180</v>
      </c>
      <c r="F59" s="19" t="s">
        <v>51</v>
      </c>
      <c r="G59" s="13">
        <v>9</v>
      </c>
      <c r="H59" s="15">
        <v>46</v>
      </c>
    </row>
    <row r="60" spans="1:8" x14ac:dyDescent="0.4">
      <c r="E60" s="24">
        <f>DATE(1993,7,31)</f>
        <v>34181</v>
      </c>
      <c r="F60" s="19" t="s">
        <v>51</v>
      </c>
      <c r="G60" s="13">
        <v>8</v>
      </c>
      <c r="H60" s="15">
        <v>46</v>
      </c>
    </row>
    <row r="61" spans="1:8" s="18" customFormat="1" x14ac:dyDescent="0.4">
      <c r="A61" s="16">
        <v>14</v>
      </c>
      <c r="B61" s="16" t="s">
        <v>76</v>
      </c>
      <c r="C61" s="16" t="s">
        <v>77</v>
      </c>
      <c r="D61" s="16"/>
      <c r="E61" s="17" t="s">
        <v>81</v>
      </c>
      <c r="F61" s="46" t="s">
        <v>51</v>
      </c>
      <c r="G61" s="16">
        <v>1</v>
      </c>
      <c r="H61" s="18">
        <v>46</v>
      </c>
    </row>
    <row r="62" spans="1:8" s="18" customFormat="1" x14ac:dyDescent="0.4">
      <c r="A62" s="16"/>
      <c r="B62" s="16" t="s">
        <v>80</v>
      </c>
      <c r="C62" s="16" t="s">
        <v>75</v>
      </c>
      <c r="D62" s="16"/>
      <c r="E62" s="17">
        <f>DATE(1993,8,1)</f>
        <v>34182</v>
      </c>
      <c r="F62" s="46" t="s">
        <v>51</v>
      </c>
      <c r="G62" s="16">
        <v>8</v>
      </c>
      <c r="H62" s="18">
        <v>46</v>
      </c>
    </row>
    <row r="63" spans="1:8" s="18" customFormat="1" x14ac:dyDescent="0.4">
      <c r="A63" s="16"/>
      <c r="B63" s="16"/>
      <c r="C63" s="16"/>
      <c r="D63" s="16"/>
      <c r="E63" s="17">
        <f>DATE(1993,8,2)</f>
        <v>34183</v>
      </c>
      <c r="F63" s="46" t="s">
        <v>51</v>
      </c>
      <c r="G63" s="16">
        <v>7</v>
      </c>
      <c r="H63" s="18">
        <v>46</v>
      </c>
    </row>
    <row r="64" spans="1:8" x14ac:dyDescent="0.4">
      <c r="A64" s="15">
        <v>15</v>
      </c>
      <c r="B64" s="13" t="s">
        <v>80</v>
      </c>
      <c r="C64" s="15" t="s">
        <v>75</v>
      </c>
      <c r="D64" s="15"/>
      <c r="E64" s="24">
        <f>DATE(1994,1,27)</f>
        <v>34361</v>
      </c>
      <c r="F64" s="29" t="s">
        <v>51</v>
      </c>
      <c r="G64" s="15">
        <v>10</v>
      </c>
      <c r="H64" s="15">
        <v>46</v>
      </c>
    </row>
    <row r="65" spans="1:8" s="18" customFormat="1" x14ac:dyDescent="0.4">
      <c r="A65" s="16">
        <v>16</v>
      </c>
      <c r="B65" s="16" t="s">
        <v>80</v>
      </c>
      <c r="C65" s="16" t="s">
        <v>75</v>
      </c>
      <c r="D65" s="16"/>
      <c r="E65" s="25">
        <f>DATE(1994,7,23)</f>
        <v>34538</v>
      </c>
      <c r="F65" s="33" t="s">
        <v>51</v>
      </c>
      <c r="G65" s="16">
        <v>12</v>
      </c>
      <c r="H65" s="18">
        <v>46</v>
      </c>
    </row>
    <row r="66" spans="1:8" s="18" customFormat="1" x14ac:dyDescent="0.4">
      <c r="A66" s="16"/>
      <c r="B66" s="16"/>
      <c r="C66" s="16"/>
      <c r="D66" s="16"/>
      <c r="E66" s="25">
        <f>DATE(1994,7,24)</f>
        <v>34539</v>
      </c>
      <c r="F66" s="33" t="s">
        <v>51</v>
      </c>
      <c r="G66" s="16">
        <v>7</v>
      </c>
      <c r="H66" s="18">
        <v>46</v>
      </c>
    </row>
    <row r="67" spans="1:8" s="18" customFormat="1" x14ac:dyDescent="0.4">
      <c r="A67" s="16"/>
      <c r="B67" s="16"/>
      <c r="C67" s="16"/>
      <c r="D67" s="16"/>
      <c r="E67" s="25">
        <f>DATE(1994,7,25)</f>
        <v>34540</v>
      </c>
      <c r="F67" s="33" t="s">
        <v>51</v>
      </c>
      <c r="G67" s="16">
        <v>9</v>
      </c>
      <c r="H67" s="18">
        <v>46</v>
      </c>
    </row>
    <row r="68" spans="1:8" s="18" customFormat="1" x14ac:dyDescent="0.4">
      <c r="A68" s="16"/>
      <c r="B68" s="16"/>
      <c r="C68" s="16"/>
      <c r="D68" s="16"/>
      <c r="E68" s="25">
        <f>DATE(1994,7,26)</f>
        <v>34541</v>
      </c>
      <c r="F68" s="33" t="s">
        <v>51</v>
      </c>
      <c r="G68" s="16">
        <v>7</v>
      </c>
      <c r="H68" s="18">
        <v>46</v>
      </c>
    </row>
    <row r="69" spans="1:8" s="18" customFormat="1" x14ac:dyDescent="0.4">
      <c r="A69" s="16"/>
      <c r="B69" s="16"/>
      <c r="C69" s="16"/>
      <c r="D69" s="16"/>
      <c r="E69" s="25">
        <f>DATE(1994,7,27)</f>
        <v>34542</v>
      </c>
      <c r="F69" s="33" t="s">
        <v>51</v>
      </c>
      <c r="G69" s="16">
        <v>8</v>
      </c>
      <c r="H69" s="18">
        <v>46</v>
      </c>
    </row>
    <row r="70" spans="1:8" s="18" customFormat="1" x14ac:dyDescent="0.4">
      <c r="A70" s="16"/>
      <c r="B70" s="16"/>
      <c r="C70" s="16"/>
      <c r="D70" s="16"/>
      <c r="E70" s="25">
        <f>DATE(1994,7,28)</f>
        <v>34543</v>
      </c>
      <c r="F70" s="33" t="s">
        <v>51</v>
      </c>
      <c r="G70" s="16">
        <v>10</v>
      </c>
      <c r="H70" s="18">
        <v>46</v>
      </c>
    </row>
    <row r="71" spans="1:8" s="18" customFormat="1" x14ac:dyDescent="0.4">
      <c r="A71" s="16"/>
      <c r="B71" s="16"/>
      <c r="C71" s="16"/>
      <c r="D71" s="16"/>
      <c r="E71" s="25">
        <f>DATE(1994,7,29)</f>
        <v>34544</v>
      </c>
      <c r="F71" s="33" t="s">
        <v>51</v>
      </c>
      <c r="G71" s="16">
        <v>8</v>
      </c>
      <c r="H71" s="18">
        <v>46</v>
      </c>
    </row>
    <row r="72" spans="1:8" s="18" customFormat="1" x14ac:dyDescent="0.4">
      <c r="A72" s="16"/>
      <c r="B72" s="16"/>
      <c r="C72" s="16"/>
      <c r="D72" s="16"/>
      <c r="E72" s="25">
        <f>DATE(1994,7,30)</f>
        <v>34545</v>
      </c>
      <c r="F72" s="33" t="s">
        <v>51</v>
      </c>
      <c r="G72" s="16">
        <v>8</v>
      </c>
      <c r="H72" s="18">
        <v>46</v>
      </c>
    </row>
    <row r="73" spans="1:8" s="18" customFormat="1" x14ac:dyDescent="0.4">
      <c r="A73" s="16"/>
      <c r="B73" s="16"/>
      <c r="C73" s="16"/>
      <c r="D73" s="16"/>
      <c r="E73" s="25">
        <f>DATE(1994,7,31)</f>
        <v>34546</v>
      </c>
      <c r="F73" s="33" t="s">
        <v>51</v>
      </c>
      <c r="G73" s="16">
        <v>1</v>
      </c>
      <c r="H73" s="18">
        <v>46</v>
      </c>
    </row>
    <row r="74" spans="1:8" x14ac:dyDescent="0.4">
      <c r="A74" s="15">
        <v>17</v>
      </c>
      <c r="B74" s="13" t="s">
        <v>80</v>
      </c>
      <c r="C74" s="15" t="s">
        <v>75</v>
      </c>
      <c r="D74" s="15"/>
      <c r="E74" s="24">
        <f>DATE(1994,10,23)</f>
        <v>34630</v>
      </c>
      <c r="F74" s="29" t="s">
        <v>51</v>
      </c>
      <c r="G74" s="15">
        <v>2</v>
      </c>
      <c r="H74" s="15">
        <v>46</v>
      </c>
    </row>
    <row r="75" spans="1:8" x14ac:dyDescent="0.4">
      <c r="A75" s="15"/>
      <c r="C75" s="15"/>
      <c r="D75" s="15"/>
      <c r="E75" s="24">
        <f>DATE(1994,10,24)</f>
        <v>34631</v>
      </c>
      <c r="F75" s="29" t="s">
        <v>51</v>
      </c>
      <c r="G75" s="15">
        <v>1</v>
      </c>
      <c r="H75" s="15">
        <v>46</v>
      </c>
    </row>
    <row r="76" spans="1:8" s="18" customFormat="1" x14ac:dyDescent="0.4">
      <c r="A76" s="16">
        <v>18</v>
      </c>
      <c r="B76" s="16" t="s">
        <v>80</v>
      </c>
      <c r="C76" s="16" t="s">
        <v>75</v>
      </c>
      <c r="D76" s="16"/>
      <c r="E76" s="25">
        <f>DATE(1996,1,19)</f>
        <v>35083</v>
      </c>
      <c r="F76" s="33" t="s">
        <v>51</v>
      </c>
      <c r="G76" s="16">
        <v>9</v>
      </c>
      <c r="H76" s="18">
        <v>46</v>
      </c>
    </row>
    <row r="77" spans="1:8" s="18" customFormat="1" x14ac:dyDescent="0.4">
      <c r="A77" s="16"/>
      <c r="B77" s="16"/>
      <c r="C77" s="16"/>
      <c r="D77" s="16"/>
      <c r="E77" s="25">
        <f>DATE(1996,1,20)</f>
        <v>35084</v>
      </c>
      <c r="F77" s="33" t="s">
        <v>51</v>
      </c>
      <c r="G77" s="16">
        <v>12</v>
      </c>
      <c r="H77" s="18">
        <v>46</v>
      </c>
    </row>
    <row r="78" spans="1:8" s="18" customFormat="1" x14ac:dyDescent="0.4">
      <c r="A78" s="16"/>
      <c r="B78" s="16"/>
      <c r="C78" s="16"/>
      <c r="D78" s="16"/>
      <c r="E78" s="25">
        <f>DATE(1996,1,21)</f>
        <v>35085</v>
      </c>
      <c r="F78" s="33" t="s">
        <v>51</v>
      </c>
      <c r="G78" s="16">
        <v>13</v>
      </c>
      <c r="H78" s="18">
        <v>46</v>
      </c>
    </row>
    <row r="79" spans="1:8" s="18" customFormat="1" x14ac:dyDescent="0.4">
      <c r="A79" s="16"/>
      <c r="B79" s="16"/>
      <c r="C79" s="16"/>
      <c r="D79" s="16"/>
      <c r="E79" s="25">
        <f>DATE(1996,1,22)</f>
        <v>35086</v>
      </c>
      <c r="F79" s="33" t="s">
        <v>51</v>
      </c>
      <c r="G79" s="16">
        <v>10</v>
      </c>
      <c r="H79" s="18">
        <v>46</v>
      </c>
    </row>
    <row r="80" spans="1:8" s="18" customFormat="1" x14ac:dyDescent="0.4">
      <c r="A80" s="16"/>
      <c r="B80" s="16"/>
      <c r="C80" s="16"/>
      <c r="D80" s="16"/>
      <c r="E80" s="25">
        <f>DATE(1996,1,23)</f>
        <v>35087</v>
      </c>
      <c r="F80" s="33" t="s">
        <v>51</v>
      </c>
      <c r="G80" s="16">
        <v>23</v>
      </c>
      <c r="H80" s="18">
        <v>46</v>
      </c>
    </row>
    <row r="81" spans="1:8" s="18" customFormat="1" x14ac:dyDescent="0.4">
      <c r="A81" s="16"/>
      <c r="B81" s="16"/>
      <c r="C81" s="16"/>
      <c r="D81" s="16"/>
      <c r="E81" s="25">
        <f>DATE(1996,1,24)</f>
        <v>35088</v>
      </c>
      <c r="F81" s="33" t="s">
        <v>51</v>
      </c>
      <c r="G81" s="16">
        <v>10</v>
      </c>
      <c r="H81" s="18">
        <v>46</v>
      </c>
    </row>
    <row r="82" spans="1:8" s="18" customFormat="1" x14ac:dyDescent="0.4">
      <c r="A82" s="16"/>
      <c r="B82" s="16"/>
      <c r="C82" s="16"/>
      <c r="D82" s="16"/>
      <c r="E82" s="25">
        <f>DATE(1996,1,25)</f>
        <v>35089</v>
      </c>
      <c r="F82" s="33" t="s">
        <v>51</v>
      </c>
      <c r="G82" s="16">
        <v>15</v>
      </c>
      <c r="H82" s="18">
        <v>46</v>
      </c>
    </row>
    <row r="83" spans="1:8" s="18" customFormat="1" x14ac:dyDescent="0.4">
      <c r="A83" s="16"/>
      <c r="B83" s="16"/>
      <c r="C83" s="16"/>
      <c r="D83" s="16"/>
      <c r="E83" s="25">
        <f>DATE(1996,1,26)</f>
        <v>35090</v>
      </c>
      <c r="F83" s="33" t="s">
        <v>51</v>
      </c>
      <c r="G83" s="16">
        <v>12</v>
      </c>
      <c r="H83" s="18">
        <v>46</v>
      </c>
    </row>
    <row r="84" spans="1:8" s="18" customFormat="1" x14ac:dyDescent="0.4">
      <c r="A84" s="16"/>
      <c r="B84" s="16"/>
      <c r="C84" s="16"/>
      <c r="D84" s="16"/>
      <c r="E84" s="25">
        <f>DATE(1996,1,27)</f>
        <v>35091</v>
      </c>
      <c r="F84" s="33" t="s">
        <v>51</v>
      </c>
      <c r="G84" s="16">
        <v>13</v>
      </c>
      <c r="H84" s="18">
        <v>46</v>
      </c>
    </row>
    <row r="85" spans="1:8" s="18" customFormat="1" x14ac:dyDescent="0.4">
      <c r="A85" s="16"/>
      <c r="B85" s="16"/>
      <c r="C85" s="16"/>
      <c r="D85" s="16"/>
      <c r="E85" s="25">
        <f>DATE(1996,1,28)</f>
        <v>35092</v>
      </c>
      <c r="F85" s="33" t="s">
        <v>51</v>
      </c>
      <c r="G85" s="16">
        <v>22</v>
      </c>
      <c r="H85" s="18">
        <v>46</v>
      </c>
    </row>
    <row r="86" spans="1:8" s="18" customFormat="1" x14ac:dyDescent="0.4">
      <c r="A86" s="16"/>
      <c r="B86" s="16"/>
      <c r="C86" s="16"/>
      <c r="D86" s="16"/>
      <c r="E86" s="25">
        <f>DATE(1996,1,29)</f>
        <v>35093</v>
      </c>
      <c r="F86" s="33" t="s">
        <v>51</v>
      </c>
      <c r="G86" s="16">
        <v>9</v>
      </c>
      <c r="H86" s="18">
        <v>46</v>
      </c>
    </row>
    <row r="87" spans="1:8" s="18" customFormat="1" x14ac:dyDescent="0.4">
      <c r="A87" s="16"/>
      <c r="B87" s="16"/>
      <c r="C87" s="16"/>
      <c r="D87" s="16"/>
      <c r="E87" s="25">
        <f>DATE(1996,1,30)</f>
        <v>35094</v>
      </c>
      <c r="F87" s="33" t="s">
        <v>51</v>
      </c>
      <c r="G87" s="16">
        <v>10</v>
      </c>
      <c r="H87" s="18">
        <v>46</v>
      </c>
    </row>
    <row r="88" spans="1:8" x14ac:dyDescent="0.4">
      <c r="A88" s="15">
        <v>19</v>
      </c>
      <c r="B88" s="13" t="s">
        <v>76</v>
      </c>
      <c r="C88" s="15"/>
      <c r="D88" s="15"/>
      <c r="E88" s="26" t="s">
        <v>82</v>
      </c>
      <c r="F88" s="29" t="s">
        <v>51</v>
      </c>
      <c r="G88" s="15">
        <v>1</v>
      </c>
      <c r="H88" s="15">
        <v>46</v>
      </c>
    </row>
    <row r="89" spans="1:8" x14ac:dyDescent="0.4">
      <c r="A89" s="15"/>
      <c r="B89" s="13" t="s">
        <v>80</v>
      </c>
      <c r="C89" s="15"/>
      <c r="D89" s="15"/>
      <c r="E89" s="24">
        <f>DATE(1996,7,1)</f>
        <v>35247</v>
      </c>
      <c r="F89" s="29" t="s">
        <v>51</v>
      </c>
      <c r="G89" s="15">
        <v>8</v>
      </c>
      <c r="H89" s="15">
        <v>46</v>
      </c>
    </row>
    <row r="90" spans="1:8" x14ac:dyDescent="0.4">
      <c r="A90" s="15"/>
      <c r="C90" s="15"/>
      <c r="D90" s="15"/>
      <c r="E90" s="24">
        <f>DATE(1996,7,2)</f>
        <v>35248</v>
      </c>
      <c r="F90" s="29" t="s">
        <v>51</v>
      </c>
      <c r="G90" s="15">
        <v>10</v>
      </c>
      <c r="H90" s="15">
        <v>46</v>
      </c>
    </row>
    <row r="91" spans="1:8" x14ac:dyDescent="0.4">
      <c r="A91" s="15"/>
      <c r="C91" s="15"/>
      <c r="D91" s="15"/>
      <c r="E91" s="24">
        <f>DATE(1996,7,3)</f>
        <v>35249</v>
      </c>
      <c r="F91" s="29" t="s">
        <v>51</v>
      </c>
      <c r="G91" s="15">
        <v>8</v>
      </c>
      <c r="H91" s="15">
        <v>46</v>
      </c>
    </row>
    <row r="92" spans="1:8" x14ac:dyDescent="0.4">
      <c r="A92" s="15"/>
      <c r="C92" s="15"/>
      <c r="D92" s="15"/>
      <c r="E92" s="24">
        <f>DATE(1996,7,4)</f>
        <v>35250</v>
      </c>
      <c r="F92" s="29" t="s">
        <v>51</v>
      </c>
      <c r="G92" s="15">
        <v>9</v>
      </c>
      <c r="H92" s="15">
        <v>46</v>
      </c>
    </row>
    <row r="93" spans="1:8" x14ac:dyDescent="0.4">
      <c r="A93" s="15"/>
      <c r="C93" s="15"/>
      <c r="D93" s="15"/>
      <c r="E93" s="24">
        <f>DATE(1996,7,5)</f>
        <v>35251</v>
      </c>
      <c r="F93" s="29" t="s">
        <v>51</v>
      </c>
      <c r="G93" s="15">
        <v>10</v>
      </c>
      <c r="H93" s="15">
        <v>46</v>
      </c>
    </row>
    <row r="94" spans="1:8" x14ac:dyDescent="0.4">
      <c r="A94" s="15"/>
      <c r="C94" s="15"/>
      <c r="D94" s="15"/>
      <c r="E94" s="24">
        <f>DATE(1996,7,6)</f>
        <v>35252</v>
      </c>
      <c r="F94" s="29" t="s">
        <v>51</v>
      </c>
      <c r="G94" s="15">
        <v>2</v>
      </c>
      <c r="H94" s="15">
        <v>46</v>
      </c>
    </row>
    <row r="95" spans="1:8" s="18" customFormat="1" x14ac:dyDescent="0.4">
      <c r="A95" s="16">
        <v>20</v>
      </c>
      <c r="B95" s="16" t="s">
        <v>80</v>
      </c>
      <c r="C95" s="16"/>
      <c r="D95" s="16"/>
      <c r="E95" s="25">
        <f>DATE(1996,8,6)</f>
        <v>35283</v>
      </c>
      <c r="F95" s="33" t="s">
        <v>51</v>
      </c>
      <c r="G95" s="16">
        <v>9</v>
      </c>
      <c r="H95" s="18">
        <v>46</v>
      </c>
    </row>
    <row r="96" spans="1:8" s="18" customFormat="1" x14ac:dyDescent="0.4">
      <c r="A96" s="16"/>
      <c r="B96" s="16"/>
      <c r="C96" s="16"/>
      <c r="D96" s="16"/>
      <c r="E96" s="25">
        <f>DATE(1996,8,7)</f>
        <v>35284</v>
      </c>
      <c r="F96" s="33" t="s">
        <v>51</v>
      </c>
      <c r="G96" s="16">
        <v>1</v>
      </c>
      <c r="H96" s="18">
        <v>46</v>
      </c>
    </row>
    <row r="97" spans="1:8" s="18" customFormat="1" x14ac:dyDescent="0.4">
      <c r="A97" s="16"/>
      <c r="B97" s="16"/>
      <c r="C97" s="16"/>
      <c r="D97" s="16"/>
      <c r="E97" s="25">
        <f>DATE(1996,8,12)</f>
        <v>35289</v>
      </c>
      <c r="F97" s="33" t="s">
        <v>51</v>
      </c>
      <c r="G97" s="16">
        <v>5</v>
      </c>
      <c r="H97" s="18">
        <v>46</v>
      </c>
    </row>
    <row r="98" spans="1:8" s="18" customFormat="1" x14ac:dyDescent="0.4">
      <c r="A98" s="16"/>
      <c r="B98" s="16"/>
      <c r="C98" s="16"/>
      <c r="D98" s="16"/>
      <c r="E98" s="25">
        <f>DATE(1996,8,13)</f>
        <v>35290</v>
      </c>
      <c r="F98" s="33" t="s">
        <v>51</v>
      </c>
      <c r="G98" s="16">
        <v>8</v>
      </c>
      <c r="H98" s="18">
        <v>46</v>
      </c>
    </row>
    <row r="99" spans="1:8" s="18" customFormat="1" x14ac:dyDescent="0.4">
      <c r="A99" s="16"/>
      <c r="B99" s="16"/>
      <c r="C99" s="16"/>
      <c r="D99" s="16"/>
      <c r="E99" s="25">
        <f>DATE(1996,8,14)</f>
        <v>35291</v>
      </c>
      <c r="F99" s="33" t="s">
        <v>51</v>
      </c>
      <c r="G99" s="16">
        <v>18</v>
      </c>
      <c r="H99" s="18">
        <v>46</v>
      </c>
    </row>
    <row r="100" spans="1:8" x14ac:dyDescent="0.4">
      <c r="A100" s="15">
        <v>21</v>
      </c>
      <c r="B100" s="13" t="s">
        <v>83</v>
      </c>
      <c r="C100" s="15"/>
      <c r="D100" s="15"/>
      <c r="E100" s="29" t="s">
        <v>50</v>
      </c>
      <c r="F100" s="29" t="s">
        <v>51</v>
      </c>
      <c r="G100" s="15">
        <v>8</v>
      </c>
      <c r="H100" s="15">
        <v>46</v>
      </c>
    </row>
    <row r="101" spans="1:8" s="18" customFormat="1" x14ac:dyDescent="0.4">
      <c r="A101" s="18">
        <v>22</v>
      </c>
      <c r="B101" s="16" t="s">
        <v>84</v>
      </c>
      <c r="E101" s="33" t="s">
        <v>85</v>
      </c>
      <c r="F101" s="33" t="s">
        <v>51</v>
      </c>
      <c r="G101" s="18">
        <v>34</v>
      </c>
      <c r="H101" s="18">
        <v>46</v>
      </c>
    </row>
    <row r="102" spans="1:8" x14ac:dyDescent="0.4">
      <c r="A102" s="13">
        <v>23</v>
      </c>
      <c r="B102" s="13" t="s">
        <v>86</v>
      </c>
      <c r="E102" s="14" t="s">
        <v>85</v>
      </c>
      <c r="F102" s="19" t="s">
        <v>87</v>
      </c>
      <c r="G102" s="13">
        <v>2</v>
      </c>
      <c r="H102" s="15">
        <v>46</v>
      </c>
    </row>
    <row r="103" spans="1:8" s="18" customFormat="1" x14ac:dyDescent="0.4">
      <c r="A103" s="16">
        <v>24</v>
      </c>
      <c r="B103" s="16" t="s">
        <v>88</v>
      </c>
      <c r="C103" s="16"/>
      <c r="D103" s="16"/>
      <c r="E103" s="17" t="s">
        <v>85</v>
      </c>
      <c r="F103" s="46" t="s">
        <v>87</v>
      </c>
      <c r="G103" s="16">
        <v>6</v>
      </c>
      <c r="H103" s="18">
        <v>46</v>
      </c>
    </row>
    <row r="104" spans="1:8" x14ac:dyDescent="0.4">
      <c r="A104" s="13">
        <v>25</v>
      </c>
      <c r="B104" s="13" t="s">
        <v>89</v>
      </c>
      <c r="E104" s="14" t="s">
        <v>85</v>
      </c>
      <c r="F104" s="19" t="s">
        <v>87</v>
      </c>
      <c r="G104" s="13">
        <v>2</v>
      </c>
      <c r="H104" s="15">
        <v>46</v>
      </c>
    </row>
    <row r="105" spans="1:8" x14ac:dyDescent="0.4">
      <c r="G105" s="13">
        <f>SUM(G3:G104)</f>
        <v>994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9515-E7D8-4ECB-94C3-23770673AD5B}">
  <dimension ref="A1:H4"/>
  <sheetViews>
    <sheetView workbookViewId="0">
      <selection activeCell="G5" sqref="G5"/>
    </sheetView>
  </sheetViews>
  <sheetFormatPr defaultColWidth="11.5546875" defaultRowHeight="12" x14ac:dyDescent="0.4"/>
  <cols>
    <col min="1" max="1" width="4.5546875" style="13" customWidth="1"/>
    <col min="2" max="2" width="31.109375" style="13" customWidth="1"/>
    <col min="3" max="3" width="18.6640625" style="13" customWidth="1"/>
    <col min="4" max="4" width="17.88671875" style="13" customWidth="1"/>
    <col min="5" max="5" width="10.109375" style="13" customWidth="1"/>
    <col min="6" max="6" width="11.6640625" style="13" customWidth="1"/>
    <col min="7" max="7" width="6.109375" style="13" customWidth="1"/>
    <col min="8" max="8" width="3.44140625" style="15" customWidth="1"/>
    <col min="9" max="16384" width="11.5546875" style="15"/>
  </cols>
  <sheetData>
    <row r="1" spans="1:8" s="21" customFormat="1" x14ac:dyDescent="0.4">
      <c r="A1" s="95" t="s">
        <v>378</v>
      </c>
      <c r="B1" s="95"/>
      <c r="C1" s="95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379</v>
      </c>
      <c r="C3" s="13" t="s">
        <v>380</v>
      </c>
      <c r="D3" s="13" t="s">
        <v>381</v>
      </c>
      <c r="E3" s="30" t="s">
        <v>382</v>
      </c>
      <c r="F3" s="19" t="s">
        <v>51</v>
      </c>
      <c r="G3" s="13">
        <v>8</v>
      </c>
      <c r="H3" s="15">
        <v>54</v>
      </c>
    </row>
    <row r="4" spans="1:8" x14ac:dyDescent="0.4">
      <c r="G4" s="13">
        <f>SUM(G3)</f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8F2BF-B9B0-4EF0-9281-E3B781FE19C5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31.109375" style="13" customWidth="1"/>
    <col min="3" max="3" width="18.6640625" style="13" customWidth="1"/>
    <col min="4" max="4" width="17.88671875" style="13" customWidth="1"/>
    <col min="5" max="5" width="10.109375" style="13" customWidth="1"/>
    <col min="6" max="6" width="8.6640625" style="13" customWidth="1"/>
    <col min="7" max="7" width="6.109375" style="13" customWidth="1"/>
    <col min="8" max="8" width="4.33203125" style="15" customWidth="1"/>
    <col min="9" max="16384" width="11.5546875" style="15"/>
  </cols>
  <sheetData>
    <row r="1" spans="1:8" s="21" customFormat="1" x14ac:dyDescent="0.4">
      <c r="A1" s="95" t="s">
        <v>383</v>
      </c>
      <c r="B1" s="95"/>
      <c r="C1" s="95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384</v>
      </c>
      <c r="E3" s="13" t="s">
        <v>50</v>
      </c>
      <c r="F3" s="19" t="s">
        <v>336</v>
      </c>
      <c r="G3" s="13">
        <v>8</v>
      </c>
      <c r="H3" s="15">
        <v>54</v>
      </c>
    </row>
    <row r="4" spans="1:8" x14ac:dyDescent="0.4">
      <c r="G4" s="13">
        <f>SUM(G3)</f>
        <v>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9A42-9491-439C-97E1-319C3CCA239A}">
  <dimension ref="A1:H554"/>
  <sheetViews>
    <sheetView topLeftCell="A532" workbookViewId="0">
      <selection activeCell="A2" sqref="A2:XFD2"/>
    </sheetView>
  </sheetViews>
  <sheetFormatPr defaultColWidth="11.5546875" defaultRowHeight="12" x14ac:dyDescent="0.4"/>
  <cols>
    <col min="1" max="1" width="4" style="13" customWidth="1"/>
    <col min="2" max="2" width="51.6640625" style="13" customWidth="1"/>
    <col min="3" max="3" width="15.21875" style="13" customWidth="1"/>
    <col min="4" max="4" width="15.5546875" style="13" customWidth="1"/>
    <col min="5" max="5" width="13.5546875" style="14" customWidth="1"/>
    <col min="6" max="6" width="5.6640625" style="19" customWidth="1"/>
    <col min="7" max="7" width="14.33203125" style="13" customWidth="1"/>
    <col min="8" max="8" width="3.44140625" style="15" customWidth="1"/>
    <col min="9" max="16384" width="11.5546875" style="15"/>
  </cols>
  <sheetData>
    <row r="1" spans="1:8" s="21" customFormat="1" x14ac:dyDescent="0.4">
      <c r="A1" s="95" t="s">
        <v>385</v>
      </c>
      <c r="B1" s="95"/>
      <c r="C1" s="95"/>
      <c r="E1" s="28"/>
      <c r="F1" s="22"/>
    </row>
    <row r="2" spans="1:8" s="78" customFormat="1" ht="24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s="18" customFormat="1" x14ac:dyDescent="0.4">
      <c r="A3" s="16">
        <v>1</v>
      </c>
      <c r="B3" s="16" t="s">
        <v>386</v>
      </c>
      <c r="C3" s="16"/>
      <c r="D3" s="16"/>
      <c r="E3" s="17" t="s">
        <v>50</v>
      </c>
      <c r="F3" s="46" t="s">
        <v>51</v>
      </c>
      <c r="G3" s="16">
        <v>5</v>
      </c>
      <c r="H3" s="18">
        <v>55</v>
      </c>
    </row>
    <row r="4" spans="1:8" x14ac:dyDescent="0.4">
      <c r="A4" s="15">
        <v>2</v>
      </c>
      <c r="B4" s="13" t="s">
        <v>387</v>
      </c>
      <c r="C4" s="15"/>
      <c r="D4" s="15"/>
      <c r="E4" s="26" t="s">
        <v>50</v>
      </c>
      <c r="F4" s="29" t="s">
        <v>51</v>
      </c>
      <c r="G4" s="15">
        <v>22</v>
      </c>
      <c r="H4" s="15">
        <v>55</v>
      </c>
    </row>
    <row r="5" spans="1:8" s="18" customFormat="1" x14ac:dyDescent="0.4">
      <c r="A5" s="16">
        <v>3</v>
      </c>
      <c r="B5" s="16" t="s">
        <v>388</v>
      </c>
      <c r="C5" s="16" t="s">
        <v>389</v>
      </c>
      <c r="D5" s="16" t="s">
        <v>390</v>
      </c>
      <c r="E5" s="17">
        <f>DATE(1975,3,18)</f>
        <v>27471</v>
      </c>
      <c r="F5" s="46" t="s">
        <v>51</v>
      </c>
      <c r="G5" s="16">
        <v>14</v>
      </c>
      <c r="H5" s="18">
        <v>55</v>
      </c>
    </row>
    <row r="6" spans="1:8" x14ac:dyDescent="0.4">
      <c r="A6" s="13">
        <v>4</v>
      </c>
      <c r="B6" s="13" t="s">
        <v>391</v>
      </c>
      <c r="C6" s="13" t="s">
        <v>392</v>
      </c>
      <c r="D6" s="13" t="s">
        <v>390</v>
      </c>
      <c r="E6" s="14">
        <f>DATE(1976,4,26)</f>
        <v>27876</v>
      </c>
      <c r="F6" s="19" t="s">
        <v>51</v>
      </c>
      <c r="G6" s="13">
        <v>16</v>
      </c>
      <c r="H6" s="15">
        <v>55</v>
      </c>
    </row>
    <row r="7" spans="1:8" s="18" customFormat="1" x14ac:dyDescent="0.4">
      <c r="A7" s="16">
        <v>5</v>
      </c>
      <c r="B7" s="16" t="s">
        <v>393</v>
      </c>
      <c r="C7" s="16" t="s">
        <v>389</v>
      </c>
      <c r="D7" s="16" t="s">
        <v>390</v>
      </c>
      <c r="E7" s="17">
        <f>DATE(1977,4,13)</f>
        <v>28228</v>
      </c>
      <c r="F7" s="46" t="s">
        <v>51</v>
      </c>
      <c r="G7" s="16">
        <v>18</v>
      </c>
      <c r="H7" s="18">
        <v>55</v>
      </c>
    </row>
    <row r="8" spans="1:8" x14ac:dyDescent="0.4">
      <c r="A8" s="13">
        <v>6</v>
      </c>
      <c r="B8" s="13" t="s">
        <v>394</v>
      </c>
      <c r="C8" s="13" t="s">
        <v>389</v>
      </c>
      <c r="D8" s="13" t="s">
        <v>390</v>
      </c>
      <c r="E8" s="24">
        <f>DATE(1979,3,15)</f>
        <v>28929</v>
      </c>
      <c r="F8" s="19" t="s">
        <v>51</v>
      </c>
      <c r="G8" s="13">
        <v>59</v>
      </c>
      <c r="H8" s="15">
        <v>55</v>
      </c>
    </row>
    <row r="9" spans="1:8" s="18" customFormat="1" x14ac:dyDescent="0.4">
      <c r="A9" s="16">
        <v>7</v>
      </c>
      <c r="B9" s="16" t="s">
        <v>395</v>
      </c>
      <c r="C9" s="16" t="s">
        <v>152</v>
      </c>
      <c r="D9" s="16" t="s">
        <v>390</v>
      </c>
      <c r="E9" s="17">
        <f>DATE(1985,8,16)</f>
        <v>31275</v>
      </c>
      <c r="F9" s="46" t="s">
        <v>51</v>
      </c>
      <c r="G9" s="16">
        <v>35</v>
      </c>
      <c r="H9" s="18">
        <v>55</v>
      </c>
    </row>
    <row r="10" spans="1:8" x14ac:dyDescent="0.4">
      <c r="A10" s="13">
        <v>8</v>
      </c>
      <c r="B10" s="13" t="s">
        <v>396</v>
      </c>
      <c r="C10" s="13" t="s">
        <v>152</v>
      </c>
      <c r="D10" s="13" t="s">
        <v>390</v>
      </c>
      <c r="E10" s="14">
        <f>DATE(1986,4,10)</f>
        <v>31512</v>
      </c>
      <c r="F10" s="19" t="s">
        <v>51</v>
      </c>
      <c r="G10" s="13">
        <v>41</v>
      </c>
      <c r="H10" s="15">
        <v>55</v>
      </c>
    </row>
    <row r="11" spans="1:8" s="18" customFormat="1" x14ac:dyDescent="0.4">
      <c r="A11" s="16">
        <v>9</v>
      </c>
      <c r="B11" s="16" t="s">
        <v>60</v>
      </c>
      <c r="C11" s="16" t="s">
        <v>64</v>
      </c>
      <c r="D11" s="16" t="s">
        <v>390</v>
      </c>
      <c r="E11" s="17">
        <f>DATE(1990,3,31)</f>
        <v>32963</v>
      </c>
      <c r="F11" s="46" t="s">
        <v>51</v>
      </c>
      <c r="G11" s="16">
        <v>26</v>
      </c>
      <c r="H11" s="18">
        <v>55</v>
      </c>
    </row>
    <row r="12" spans="1:8" x14ac:dyDescent="0.4">
      <c r="A12" s="13">
        <v>10</v>
      </c>
      <c r="B12" s="13" t="s">
        <v>53</v>
      </c>
      <c r="C12" s="13" t="s">
        <v>64</v>
      </c>
      <c r="D12" s="13" t="s">
        <v>390</v>
      </c>
      <c r="E12" s="14">
        <f>DATE(1992,4,28)</f>
        <v>33722</v>
      </c>
      <c r="F12" s="19" t="s">
        <v>51</v>
      </c>
      <c r="G12" s="13">
        <v>12</v>
      </c>
      <c r="H12" s="15">
        <v>55</v>
      </c>
    </row>
    <row r="13" spans="1:8" s="18" customFormat="1" x14ac:dyDescent="0.4">
      <c r="A13" s="16">
        <v>11</v>
      </c>
      <c r="B13" s="16" t="s">
        <v>397</v>
      </c>
      <c r="C13" s="16"/>
      <c r="D13" s="16"/>
      <c r="E13" s="17" t="s">
        <v>50</v>
      </c>
      <c r="F13" s="46" t="s">
        <v>51</v>
      </c>
      <c r="G13" s="16">
        <v>3</v>
      </c>
      <c r="H13" s="18">
        <v>55</v>
      </c>
    </row>
    <row r="14" spans="1:8" x14ac:dyDescent="0.4">
      <c r="A14" s="13">
        <v>12</v>
      </c>
      <c r="B14" s="13" t="s">
        <v>398</v>
      </c>
      <c r="E14" s="14" t="s">
        <v>50</v>
      </c>
      <c r="F14" s="19" t="s">
        <v>51</v>
      </c>
      <c r="G14" s="13">
        <v>4</v>
      </c>
      <c r="H14" s="15">
        <v>55</v>
      </c>
    </row>
    <row r="15" spans="1:8" s="18" customFormat="1" ht="24" x14ac:dyDescent="0.4">
      <c r="A15" s="16">
        <v>13</v>
      </c>
      <c r="B15" s="16" t="s">
        <v>399</v>
      </c>
      <c r="C15" s="35"/>
      <c r="D15" s="35" t="s">
        <v>390</v>
      </c>
      <c r="E15" s="38">
        <f>DATE(1987,2,19)</f>
        <v>31827</v>
      </c>
      <c r="F15" s="46" t="s">
        <v>51</v>
      </c>
      <c r="G15" s="16">
        <v>35</v>
      </c>
      <c r="H15" s="18">
        <v>55</v>
      </c>
    </row>
    <row r="16" spans="1:8" x14ac:dyDescent="0.4">
      <c r="A16" s="13">
        <v>14</v>
      </c>
      <c r="B16" s="13" t="s">
        <v>400</v>
      </c>
      <c r="D16" s="13" t="s">
        <v>390</v>
      </c>
      <c r="E16" s="14">
        <f>DATE(1992,4,11)</f>
        <v>33705</v>
      </c>
      <c r="F16" s="19" t="s">
        <v>51</v>
      </c>
      <c r="G16" s="13">
        <v>20</v>
      </c>
      <c r="H16" s="15">
        <v>55</v>
      </c>
    </row>
    <row r="17" spans="1:8" s="18" customFormat="1" x14ac:dyDescent="0.4">
      <c r="A17" s="16">
        <v>15</v>
      </c>
      <c r="B17" s="16" t="s">
        <v>401</v>
      </c>
      <c r="C17" s="16"/>
      <c r="D17" s="16"/>
      <c r="E17" s="17" t="s">
        <v>50</v>
      </c>
      <c r="F17" s="46" t="s">
        <v>51</v>
      </c>
      <c r="G17" s="16">
        <v>4</v>
      </c>
      <c r="H17" s="18">
        <v>55</v>
      </c>
    </row>
    <row r="18" spans="1:8" x14ac:dyDescent="0.4">
      <c r="A18" s="13">
        <v>16</v>
      </c>
      <c r="B18" s="13" t="s">
        <v>402</v>
      </c>
      <c r="C18" s="15" t="s">
        <v>403</v>
      </c>
      <c r="D18" s="15"/>
      <c r="E18" s="24">
        <f>DATE(1985,7,12)</f>
        <v>31240</v>
      </c>
      <c r="F18" s="19" t="s">
        <v>51</v>
      </c>
      <c r="G18" s="13">
        <v>5</v>
      </c>
      <c r="H18" s="15">
        <v>55</v>
      </c>
    </row>
    <row r="19" spans="1:8" s="18" customFormat="1" x14ac:dyDescent="0.4">
      <c r="A19" s="18">
        <v>17</v>
      </c>
      <c r="B19" s="16" t="s">
        <v>404</v>
      </c>
      <c r="C19" s="18" t="s">
        <v>403</v>
      </c>
      <c r="D19" s="18" t="s">
        <v>405</v>
      </c>
      <c r="E19" s="25">
        <f>DATE(1986,9,12)</f>
        <v>31667</v>
      </c>
      <c r="F19" s="33" t="s">
        <v>51</v>
      </c>
      <c r="G19" s="18">
        <v>5</v>
      </c>
      <c r="H19" s="18">
        <v>55</v>
      </c>
    </row>
    <row r="20" spans="1:8" x14ac:dyDescent="0.4">
      <c r="A20" s="15">
        <v>18</v>
      </c>
      <c r="B20" s="13" t="s">
        <v>406</v>
      </c>
      <c r="C20" s="15" t="s">
        <v>407</v>
      </c>
      <c r="D20" s="15" t="s">
        <v>405</v>
      </c>
      <c r="E20" s="24">
        <f>DATE(1986,10,16)</f>
        <v>31701</v>
      </c>
      <c r="F20" s="29" t="s">
        <v>51</v>
      </c>
      <c r="G20" s="15">
        <v>5</v>
      </c>
      <c r="H20" s="15">
        <v>55</v>
      </c>
    </row>
    <row r="21" spans="1:8" s="18" customFormat="1" x14ac:dyDescent="0.4">
      <c r="A21" s="18">
        <v>19</v>
      </c>
      <c r="B21" s="16" t="s">
        <v>408</v>
      </c>
      <c r="E21" s="36" t="s">
        <v>50</v>
      </c>
      <c r="F21" s="33" t="s">
        <v>51</v>
      </c>
      <c r="G21" s="18">
        <v>1</v>
      </c>
      <c r="H21" s="18">
        <v>55</v>
      </c>
    </row>
    <row r="22" spans="1:8" x14ac:dyDescent="0.4">
      <c r="A22" s="13">
        <v>20</v>
      </c>
      <c r="B22" s="13" t="s">
        <v>409</v>
      </c>
      <c r="E22" s="14" t="s">
        <v>410</v>
      </c>
      <c r="F22" s="19" t="s">
        <v>98</v>
      </c>
      <c r="G22" s="13">
        <v>1</v>
      </c>
      <c r="H22" s="15">
        <v>55</v>
      </c>
    </row>
    <row r="23" spans="1:8" x14ac:dyDescent="0.4">
      <c r="B23" s="13" t="s">
        <v>80</v>
      </c>
      <c r="E23" s="14">
        <f>DATE(1973,9,1)</f>
        <v>26908</v>
      </c>
      <c r="F23" s="19" t="s">
        <v>98</v>
      </c>
      <c r="G23" s="13">
        <v>1</v>
      </c>
      <c r="H23" s="15">
        <v>55</v>
      </c>
    </row>
    <row r="24" spans="1:8" x14ac:dyDescent="0.4">
      <c r="E24" s="14">
        <f>DATE(1973,9,2)</f>
        <v>26909</v>
      </c>
      <c r="F24" s="19" t="s">
        <v>98</v>
      </c>
      <c r="G24" s="13">
        <v>1</v>
      </c>
      <c r="H24" s="15">
        <v>55</v>
      </c>
    </row>
    <row r="25" spans="1:8" x14ac:dyDescent="0.4">
      <c r="E25" s="14">
        <f>DATE(1973,9,3)</f>
        <v>26910</v>
      </c>
      <c r="F25" s="19" t="s">
        <v>98</v>
      </c>
      <c r="G25" s="13">
        <v>1</v>
      </c>
      <c r="H25" s="15">
        <v>55</v>
      </c>
    </row>
    <row r="26" spans="1:8" x14ac:dyDescent="0.4">
      <c r="E26" s="14">
        <f>DATE(1973,9,4)</f>
        <v>26911</v>
      </c>
      <c r="F26" s="19" t="s">
        <v>98</v>
      </c>
      <c r="G26" s="13">
        <v>1</v>
      </c>
      <c r="H26" s="15">
        <v>55</v>
      </c>
    </row>
    <row r="27" spans="1:8" x14ac:dyDescent="0.4">
      <c r="E27" s="14">
        <f>DATE(1973,9,5)</f>
        <v>26912</v>
      </c>
      <c r="F27" s="19" t="s">
        <v>98</v>
      </c>
      <c r="G27" s="13">
        <v>1</v>
      </c>
      <c r="H27" s="15">
        <v>55</v>
      </c>
    </row>
    <row r="28" spans="1:8" x14ac:dyDescent="0.4">
      <c r="E28" s="14">
        <f>DATE(1973,9,6)</f>
        <v>26913</v>
      </c>
      <c r="F28" s="19" t="s">
        <v>98</v>
      </c>
      <c r="G28" s="13">
        <v>1</v>
      </c>
      <c r="H28" s="15">
        <v>55</v>
      </c>
    </row>
    <row r="29" spans="1:8" x14ac:dyDescent="0.4">
      <c r="E29" s="14">
        <f>DATE(1973,9,7)</f>
        <v>26914</v>
      </c>
      <c r="F29" s="19" t="s">
        <v>98</v>
      </c>
      <c r="G29" s="13">
        <v>1</v>
      </c>
      <c r="H29" s="15">
        <v>55</v>
      </c>
    </row>
    <row r="30" spans="1:8" x14ac:dyDescent="0.4">
      <c r="E30" s="14">
        <f>DATE(1973,9,8)</f>
        <v>26915</v>
      </c>
      <c r="F30" s="19" t="s">
        <v>98</v>
      </c>
      <c r="G30" s="13">
        <v>2</v>
      </c>
      <c r="H30" s="15">
        <v>55</v>
      </c>
    </row>
    <row r="31" spans="1:8" x14ac:dyDescent="0.4">
      <c r="E31" s="14">
        <f>DATE(1973,9,9)</f>
        <v>26916</v>
      </c>
      <c r="F31" s="19" t="s">
        <v>98</v>
      </c>
      <c r="G31" s="13">
        <v>1</v>
      </c>
      <c r="H31" s="15">
        <v>55</v>
      </c>
    </row>
    <row r="32" spans="1:8" x14ac:dyDescent="0.4">
      <c r="E32" s="14">
        <f>DATE(1973,9,10)</f>
        <v>26917</v>
      </c>
      <c r="F32" s="19" t="s">
        <v>98</v>
      </c>
      <c r="G32" s="13">
        <v>1</v>
      </c>
      <c r="H32" s="15">
        <v>55</v>
      </c>
    </row>
    <row r="33" spans="5:8" x14ac:dyDescent="0.4">
      <c r="E33" s="14">
        <f>DATE(1973,9,11)</f>
        <v>26918</v>
      </c>
      <c r="F33" s="19" t="s">
        <v>98</v>
      </c>
      <c r="G33" s="13">
        <v>2</v>
      </c>
      <c r="H33" s="15">
        <v>55</v>
      </c>
    </row>
    <row r="34" spans="5:8" x14ac:dyDescent="0.4">
      <c r="E34" s="14">
        <f>DATE(1973,9,12)</f>
        <v>26919</v>
      </c>
      <c r="F34" s="19" t="s">
        <v>98</v>
      </c>
      <c r="G34" s="13">
        <v>2</v>
      </c>
      <c r="H34" s="15">
        <v>55</v>
      </c>
    </row>
    <row r="35" spans="5:8" x14ac:dyDescent="0.4">
      <c r="E35" s="14">
        <f>DATE(1973,9,13)</f>
        <v>26920</v>
      </c>
      <c r="F35" s="19" t="s">
        <v>98</v>
      </c>
      <c r="G35" s="13">
        <v>2</v>
      </c>
      <c r="H35" s="15">
        <v>55</v>
      </c>
    </row>
    <row r="36" spans="5:8" x14ac:dyDescent="0.4">
      <c r="E36" s="14">
        <f>DATE(1973,9,14)</f>
        <v>26921</v>
      </c>
      <c r="F36" s="19" t="s">
        <v>98</v>
      </c>
      <c r="G36" s="13">
        <v>2</v>
      </c>
      <c r="H36" s="15">
        <v>55</v>
      </c>
    </row>
    <row r="37" spans="5:8" x14ac:dyDescent="0.4">
      <c r="E37" s="14">
        <f>DATE(1973,9,15)</f>
        <v>26922</v>
      </c>
      <c r="F37" s="19" t="s">
        <v>98</v>
      </c>
      <c r="G37" s="13">
        <v>2</v>
      </c>
      <c r="H37" s="15">
        <v>55</v>
      </c>
    </row>
    <row r="38" spans="5:8" x14ac:dyDescent="0.4">
      <c r="E38" s="14">
        <f>DATE(1973,9,16)</f>
        <v>26923</v>
      </c>
      <c r="F38" s="19" t="s">
        <v>98</v>
      </c>
      <c r="G38" s="13">
        <v>2</v>
      </c>
      <c r="H38" s="15">
        <v>55</v>
      </c>
    </row>
    <row r="39" spans="5:8" x14ac:dyDescent="0.4">
      <c r="E39" s="14">
        <f>DATE(1973,9,17)</f>
        <v>26924</v>
      </c>
      <c r="F39" s="19" t="s">
        <v>98</v>
      </c>
      <c r="G39" s="13">
        <v>2</v>
      </c>
      <c r="H39" s="15">
        <v>55</v>
      </c>
    </row>
    <row r="40" spans="5:8" x14ac:dyDescent="0.4">
      <c r="E40" s="14">
        <f>DATE(1973,9,18)</f>
        <v>26925</v>
      </c>
      <c r="F40" s="19" t="s">
        <v>98</v>
      </c>
      <c r="G40" s="13">
        <v>2</v>
      </c>
      <c r="H40" s="15">
        <v>55</v>
      </c>
    </row>
    <row r="41" spans="5:8" x14ac:dyDescent="0.4">
      <c r="E41" s="14">
        <f>DATE(1973,9,19)</f>
        <v>26926</v>
      </c>
      <c r="F41" s="19" t="s">
        <v>98</v>
      </c>
      <c r="G41" s="13">
        <v>2</v>
      </c>
      <c r="H41" s="15">
        <v>55</v>
      </c>
    </row>
    <row r="42" spans="5:8" x14ac:dyDescent="0.4">
      <c r="E42" s="14">
        <f>DATE(1973,9,20)</f>
        <v>26927</v>
      </c>
      <c r="F42" s="19" t="s">
        <v>98</v>
      </c>
      <c r="G42" s="13">
        <v>2</v>
      </c>
      <c r="H42" s="15">
        <v>55</v>
      </c>
    </row>
    <row r="43" spans="5:8" x14ac:dyDescent="0.4">
      <c r="E43" s="14">
        <f>DATE(1973,9,21)</f>
        <v>26928</v>
      </c>
      <c r="F43" s="19" t="s">
        <v>98</v>
      </c>
      <c r="G43" s="13">
        <v>2</v>
      </c>
      <c r="H43" s="15">
        <v>55</v>
      </c>
    </row>
    <row r="44" spans="5:8" x14ac:dyDescent="0.4">
      <c r="E44" s="14">
        <f>DATE(1973,9,22)</f>
        <v>26929</v>
      </c>
      <c r="F44" s="19" t="s">
        <v>98</v>
      </c>
      <c r="G44" s="13">
        <v>2</v>
      </c>
      <c r="H44" s="15">
        <v>55</v>
      </c>
    </row>
    <row r="45" spans="5:8" x14ac:dyDescent="0.4">
      <c r="E45" s="14">
        <f>DATE(1973,9,23)</f>
        <v>26930</v>
      </c>
      <c r="F45" s="19" t="s">
        <v>98</v>
      </c>
      <c r="G45" s="13">
        <v>2</v>
      </c>
      <c r="H45" s="15">
        <v>55</v>
      </c>
    </row>
    <row r="46" spans="5:8" x14ac:dyDescent="0.4">
      <c r="E46" s="14">
        <f>DATE(1973,9,24)</f>
        <v>26931</v>
      </c>
      <c r="F46" s="19" t="s">
        <v>98</v>
      </c>
      <c r="G46" s="13">
        <v>2</v>
      </c>
      <c r="H46" s="15">
        <v>55</v>
      </c>
    </row>
    <row r="47" spans="5:8" x14ac:dyDescent="0.4">
      <c r="E47" s="14">
        <f>DATE(1973,9,25)</f>
        <v>26932</v>
      </c>
      <c r="F47" s="19" t="s">
        <v>98</v>
      </c>
      <c r="G47" s="13">
        <v>2</v>
      </c>
      <c r="H47" s="15">
        <v>55</v>
      </c>
    </row>
    <row r="48" spans="5:8" x14ac:dyDescent="0.4">
      <c r="E48" s="14">
        <f>DATE(1973,9,26)</f>
        <v>26933</v>
      </c>
      <c r="F48" s="19" t="s">
        <v>98</v>
      </c>
      <c r="G48" s="13">
        <v>2</v>
      </c>
      <c r="H48" s="15">
        <v>55</v>
      </c>
    </row>
    <row r="49" spans="1:8" x14ac:dyDescent="0.4">
      <c r="E49" s="14">
        <f>DATE(1973,9,27)</f>
        <v>26934</v>
      </c>
      <c r="F49" s="19" t="s">
        <v>98</v>
      </c>
      <c r="G49" s="13">
        <v>1</v>
      </c>
      <c r="H49" s="15">
        <v>55</v>
      </c>
    </row>
    <row r="50" spans="1:8" x14ac:dyDescent="0.4">
      <c r="E50" s="14">
        <f>DATE(1973,9,28)</f>
        <v>26935</v>
      </c>
      <c r="F50" s="19" t="s">
        <v>98</v>
      </c>
      <c r="G50" s="13">
        <v>2</v>
      </c>
      <c r="H50" s="15">
        <v>55</v>
      </c>
    </row>
    <row r="51" spans="1:8" x14ac:dyDescent="0.4">
      <c r="E51" s="14">
        <f>DATE(1973,9,29)</f>
        <v>26936</v>
      </c>
      <c r="F51" s="97" t="s">
        <v>98</v>
      </c>
      <c r="G51" s="97">
        <v>1</v>
      </c>
      <c r="H51" s="15">
        <v>55</v>
      </c>
    </row>
    <row r="52" spans="1:8" x14ac:dyDescent="0.4">
      <c r="E52" s="14">
        <f>DATE(1973,9,30)</f>
        <v>26937</v>
      </c>
      <c r="F52" s="97"/>
      <c r="G52" s="97"/>
      <c r="H52" s="15">
        <v>55</v>
      </c>
    </row>
    <row r="53" spans="1:8" s="18" customFormat="1" x14ac:dyDescent="0.4">
      <c r="A53" s="16">
        <v>21</v>
      </c>
      <c r="B53" s="16" t="s">
        <v>409</v>
      </c>
      <c r="C53" s="16"/>
      <c r="D53" s="16"/>
      <c r="E53" s="17" t="s">
        <v>411</v>
      </c>
      <c r="F53" s="46" t="s">
        <v>98</v>
      </c>
      <c r="G53" s="16">
        <v>1</v>
      </c>
      <c r="H53" s="18">
        <v>55</v>
      </c>
    </row>
    <row r="54" spans="1:8" s="18" customFormat="1" x14ac:dyDescent="0.4">
      <c r="A54" s="16"/>
      <c r="B54" s="16" t="s">
        <v>80</v>
      </c>
      <c r="C54" s="16"/>
      <c r="D54" s="16"/>
      <c r="E54" s="17">
        <f t="shared" ref="E54" si="0">DATE(1973,10,1)</f>
        <v>26938</v>
      </c>
      <c r="F54" s="46" t="s">
        <v>98</v>
      </c>
      <c r="G54" s="16">
        <v>2</v>
      </c>
      <c r="H54" s="18">
        <v>55</v>
      </c>
    </row>
    <row r="55" spans="1:8" s="18" customFormat="1" x14ac:dyDescent="0.4">
      <c r="A55" s="16"/>
      <c r="B55" s="16"/>
      <c r="C55" s="16"/>
      <c r="D55" s="16"/>
      <c r="E55" s="17">
        <f>DATE(1973,10,2)</f>
        <v>26939</v>
      </c>
      <c r="F55" s="46" t="s">
        <v>98</v>
      </c>
      <c r="G55" s="16">
        <v>1</v>
      </c>
      <c r="H55" s="18">
        <v>55</v>
      </c>
    </row>
    <row r="56" spans="1:8" s="18" customFormat="1" x14ac:dyDescent="0.4">
      <c r="A56" s="16"/>
      <c r="B56" s="16"/>
      <c r="C56" s="16"/>
      <c r="D56" s="16"/>
      <c r="E56" s="17">
        <f>DATE(1973,10,3)</f>
        <v>26940</v>
      </c>
      <c r="F56" s="46" t="s">
        <v>98</v>
      </c>
      <c r="G56" s="16">
        <v>1</v>
      </c>
      <c r="H56" s="18">
        <v>55</v>
      </c>
    </row>
    <row r="57" spans="1:8" s="18" customFormat="1" x14ac:dyDescent="0.4">
      <c r="A57" s="16"/>
      <c r="B57" s="16"/>
      <c r="C57" s="16"/>
      <c r="D57" s="16"/>
      <c r="E57" s="17">
        <f>DATE(1973,10,4)</f>
        <v>26941</v>
      </c>
      <c r="F57" s="46" t="s">
        <v>98</v>
      </c>
      <c r="G57" s="16">
        <v>2</v>
      </c>
      <c r="H57" s="18">
        <v>55</v>
      </c>
    </row>
    <row r="58" spans="1:8" s="18" customFormat="1" x14ac:dyDescent="0.4">
      <c r="A58" s="16"/>
      <c r="B58" s="16"/>
      <c r="C58" s="16"/>
      <c r="D58" s="16"/>
      <c r="E58" s="17">
        <f>DATE(1973,10,5)</f>
        <v>26942</v>
      </c>
      <c r="F58" s="46" t="s">
        <v>98</v>
      </c>
      <c r="G58" s="16">
        <v>2</v>
      </c>
      <c r="H58" s="18">
        <v>55</v>
      </c>
    </row>
    <row r="59" spans="1:8" s="18" customFormat="1" x14ac:dyDescent="0.4">
      <c r="A59" s="16"/>
      <c r="B59" s="16"/>
      <c r="C59" s="16"/>
      <c r="D59" s="16"/>
      <c r="E59" s="17">
        <f>DATE(1973,10,6)</f>
        <v>26943</v>
      </c>
      <c r="F59" s="46" t="s">
        <v>98</v>
      </c>
      <c r="G59" s="16">
        <v>1</v>
      </c>
      <c r="H59" s="18">
        <v>55</v>
      </c>
    </row>
    <row r="60" spans="1:8" s="18" customFormat="1" x14ac:dyDescent="0.4">
      <c r="A60" s="16"/>
      <c r="B60" s="16"/>
      <c r="C60" s="16"/>
      <c r="D60" s="16"/>
      <c r="E60" s="17">
        <f>DATE(1973,10,7)</f>
        <v>26944</v>
      </c>
      <c r="F60" s="46" t="s">
        <v>98</v>
      </c>
      <c r="G60" s="16">
        <v>1</v>
      </c>
      <c r="H60" s="18">
        <v>55</v>
      </c>
    </row>
    <row r="61" spans="1:8" s="18" customFormat="1" x14ac:dyDescent="0.4">
      <c r="A61" s="16"/>
      <c r="B61" s="16"/>
      <c r="C61" s="16"/>
      <c r="D61" s="16"/>
      <c r="E61" s="17">
        <f>DATE(1973,10,8)</f>
        <v>26945</v>
      </c>
      <c r="F61" s="46" t="s">
        <v>98</v>
      </c>
      <c r="G61" s="16">
        <v>1</v>
      </c>
      <c r="H61" s="18">
        <v>55</v>
      </c>
    </row>
    <row r="62" spans="1:8" s="18" customFormat="1" x14ac:dyDescent="0.4">
      <c r="A62" s="16"/>
      <c r="B62" s="16"/>
      <c r="C62" s="16"/>
      <c r="D62" s="16"/>
      <c r="E62" s="17">
        <f>DATE(1973,10,9)</f>
        <v>26946</v>
      </c>
      <c r="F62" s="46" t="s">
        <v>98</v>
      </c>
      <c r="G62" s="16">
        <v>1</v>
      </c>
      <c r="H62" s="18">
        <v>55</v>
      </c>
    </row>
    <row r="63" spans="1:8" s="18" customFormat="1" x14ac:dyDescent="0.4">
      <c r="A63" s="16"/>
      <c r="B63" s="16"/>
      <c r="C63" s="16"/>
      <c r="D63" s="16"/>
      <c r="E63" s="17">
        <f>DATE(1973,10,10)</f>
        <v>26947</v>
      </c>
      <c r="F63" s="46" t="s">
        <v>98</v>
      </c>
      <c r="G63" s="16">
        <v>1</v>
      </c>
      <c r="H63" s="18">
        <v>55</v>
      </c>
    </row>
    <row r="64" spans="1:8" s="18" customFormat="1" x14ac:dyDescent="0.4">
      <c r="A64" s="16"/>
      <c r="B64" s="16"/>
      <c r="C64" s="16"/>
      <c r="D64" s="16"/>
      <c r="E64" s="17">
        <f>DATE(1973,10,11)</f>
        <v>26948</v>
      </c>
      <c r="F64" s="46" t="s">
        <v>98</v>
      </c>
      <c r="G64" s="16">
        <v>1</v>
      </c>
      <c r="H64" s="18">
        <v>55</v>
      </c>
    </row>
    <row r="65" spans="1:8" s="18" customFormat="1" x14ac:dyDescent="0.4">
      <c r="A65" s="16"/>
      <c r="B65" s="16"/>
      <c r="C65" s="16"/>
      <c r="D65" s="16"/>
      <c r="E65" s="17">
        <f>DATE(1973,10,12)</f>
        <v>26949</v>
      </c>
      <c r="F65" s="46" t="s">
        <v>98</v>
      </c>
      <c r="G65" s="16">
        <v>1</v>
      </c>
      <c r="H65" s="18">
        <v>55</v>
      </c>
    </row>
    <row r="66" spans="1:8" s="18" customFormat="1" x14ac:dyDescent="0.4">
      <c r="A66" s="16"/>
      <c r="B66" s="16"/>
      <c r="C66" s="16"/>
      <c r="D66" s="16"/>
      <c r="E66" s="17">
        <f>DATE(1973,10,13)</f>
        <v>26950</v>
      </c>
      <c r="F66" s="46" t="s">
        <v>98</v>
      </c>
      <c r="G66" s="16">
        <v>1</v>
      </c>
      <c r="H66" s="18">
        <v>55</v>
      </c>
    </row>
    <row r="67" spans="1:8" s="18" customFormat="1" x14ac:dyDescent="0.4">
      <c r="A67" s="16"/>
      <c r="B67" s="16"/>
      <c r="C67" s="16"/>
      <c r="D67" s="16"/>
      <c r="E67" s="17">
        <f>DATE(1973,10,14)</f>
        <v>26951</v>
      </c>
      <c r="F67" s="46" t="s">
        <v>98</v>
      </c>
      <c r="G67" s="16">
        <v>1</v>
      </c>
      <c r="H67" s="18">
        <v>55</v>
      </c>
    </row>
    <row r="68" spans="1:8" s="18" customFormat="1" x14ac:dyDescent="0.4">
      <c r="A68" s="16"/>
      <c r="B68" s="16"/>
      <c r="C68" s="16"/>
      <c r="D68" s="16"/>
      <c r="E68" s="17">
        <f>DATE(1973,10,15)</f>
        <v>26952</v>
      </c>
      <c r="F68" s="46" t="s">
        <v>98</v>
      </c>
      <c r="G68" s="16">
        <v>1</v>
      </c>
      <c r="H68" s="18">
        <v>55</v>
      </c>
    </row>
    <row r="69" spans="1:8" s="18" customFormat="1" x14ac:dyDescent="0.4">
      <c r="A69" s="16"/>
      <c r="B69" s="16"/>
      <c r="C69" s="16"/>
      <c r="D69" s="16"/>
      <c r="E69" s="17">
        <f>DATE(1973,10,16)</f>
        <v>26953</v>
      </c>
      <c r="F69" s="46" t="s">
        <v>98</v>
      </c>
      <c r="G69" s="16">
        <v>2</v>
      </c>
      <c r="H69" s="18">
        <v>55</v>
      </c>
    </row>
    <row r="70" spans="1:8" s="18" customFormat="1" x14ac:dyDescent="0.4">
      <c r="A70" s="16"/>
      <c r="B70" s="16"/>
      <c r="C70" s="16"/>
      <c r="D70" s="16"/>
      <c r="E70" s="17">
        <f>DATE(1973,10,17)</f>
        <v>26954</v>
      </c>
      <c r="F70" s="46" t="s">
        <v>98</v>
      </c>
      <c r="G70" s="16">
        <v>2</v>
      </c>
      <c r="H70" s="18">
        <v>55</v>
      </c>
    </row>
    <row r="71" spans="1:8" s="18" customFormat="1" x14ac:dyDescent="0.4">
      <c r="A71" s="16"/>
      <c r="B71" s="16"/>
      <c r="C71" s="16"/>
      <c r="D71" s="16"/>
      <c r="E71" s="17">
        <f>DATE(1973,10,18)</f>
        <v>26955</v>
      </c>
      <c r="F71" s="46" t="s">
        <v>98</v>
      </c>
      <c r="G71" s="16">
        <v>2</v>
      </c>
      <c r="H71" s="18">
        <v>55</v>
      </c>
    </row>
    <row r="72" spans="1:8" s="18" customFormat="1" x14ac:dyDescent="0.4">
      <c r="A72" s="16"/>
      <c r="B72" s="16"/>
      <c r="C72" s="16"/>
      <c r="D72" s="16"/>
      <c r="E72" s="17">
        <f>DATE(1973,10,19)</f>
        <v>26956</v>
      </c>
      <c r="F72" s="46" t="s">
        <v>98</v>
      </c>
      <c r="G72" s="16">
        <v>2</v>
      </c>
      <c r="H72" s="18">
        <v>55</v>
      </c>
    </row>
    <row r="73" spans="1:8" s="18" customFormat="1" x14ac:dyDescent="0.4">
      <c r="A73" s="16"/>
      <c r="B73" s="16"/>
      <c r="C73" s="16"/>
      <c r="D73" s="16"/>
      <c r="E73" s="17">
        <f>DATE(1973,10,20)</f>
        <v>26957</v>
      </c>
      <c r="F73" s="46" t="s">
        <v>98</v>
      </c>
      <c r="G73" s="16">
        <v>2</v>
      </c>
      <c r="H73" s="18">
        <v>55</v>
      </c>
    </row>
    <row r="74" spans="1:8" s="18" customFormat="1" x14ac:dyDescent="0.4">
      <c r="A74" s="16"/>
      <c r="B74" s="16"/>
      <c r="C74" s="16"/>
      <c r="D74" s="16"/>
      <c r="E74" s="17">
        <f>DATE(1973,10,21)</f>
        <v>26958</v>
      </c>
      <c r="F74" s="46" t="s">
        <v>98</v>
      </c>
      <c r="G74" s="16">
        <v>2</v>
      </c>
      <c r="H74" s="18">
        <v>55</v>
      </c>
    </row>
    <row r="75" spans="1:8" s="18" customFormat="1" x14ac:dyDescent="0.4">
      <c r="A75" s="16"/>
      <c r="B75" s="16"/>
      <c r="C75" s="16"/>
      <c r="D75" s="16"/>
      <c r="E75" s="17">
        <f>DATE(1973,10,22)</f>
        <v>26959</v>
      </c>
      <c r="F75" s="46" t="s">
        <v>98</v>
      </c>
      <c r="G75" s="16">
        <v>2</v>
      </c>
      <c r="H75" s="18">
        <v>55</v>
      </c>
    </row>
    <row r="76" spans="1:8" s="18" customFormat="1" x14ac:dyDescent="0.4">
      <c r="A76" s="16"/>
      <c r="B76" s="16"/>
      <c r="C76" s="16"/>
      <c r="D76" s="16"/>
      <c r="E76" s="17">
        <f>DATE(1973,10,23)</f>
        <v>26960</v>
      </c>
      <c r="F76" s="46" t="s">
        <v>98</v>
      </c>
      <c r="G76" s="16">
        <v>2</v>
      </c>
      <c r="H76" s="18">
        <v>55</v>
      </c>
    </row>
    <row r="77" spans="1:8" s="18" customFormat="1" x14ac:dyDescent="0.4">
      <c r="A77" s="16"/>
      <c r="B77" s="16"/>
      <c r="C77" s="16"/>
      <c r="D77" s="16"/>
      <c r="E77" s="17">
        <f>DATE(1973,10,24)</f>
        <v>26961</v>
      </c>
      <c r="F77" s="46" t="s">
        <v>98</v>
      </c>
      <c r="G77" s="16">
        <v>2</v>
      </c>
      <c r="H77" s="18">
        <v>55</v>
      </c>
    </row>
    <row r="78" spans="1:8" s="18" customFormat="1" x14ac:dyDescent="0.4">
      <c r="A78" s="16"/>
      <c r="B78" s="16"/>
      <c r="C78" s="16"/>
      <c r="D78" s="16"/>
      <c r="E78" s="17">
        <f>DATE(1973,10,25)</f>
        <v>26962</v>
      </c>
      <c r="F78" s="46" t="s">
        <v>98</v>
      </c>
      <c r="G78" s="16">
        <v>2</v>
      </c>
      <c r="H78" s="18">
        <v>55</v>
      </c>
    </row>
    <row r="79" spans="1:8" s="18" customFormat="1" x14ac:dyDescent="0.4">
      <c r="A79" s="16"/>
      <c r="B79" s="16"/>
      <c r="C79" s="16"/>
      <c r="D79" s="16"/>
      <c r="E79" s="17">
        <f>DATE(1973,10,26)</f>
        <v>26963</v>
      </c>
      <c r="F79" s="46" t="s">
        <v>98</v>
      </c>
      <c r="G79" s="16">
        <v>2</v>
      </c>
      <c r="H79" s="18">
        <v>55</v>
      </c>
    </row>
    <row r="80" spans="1:8" s="18" customFormat="1" x14ac:dyDescent="0.4">
      <c r="A80" s="16"/>
      <c r="B80" s="16"/>
      <c r="C80" s="16"/>
      <c r="D80" s="16"/>
      <c r="E80" s="17">
        <f>DATE(1973,10,27)</f>
        <v>26964</v>
      </c>
      <c r="F80" s="46" t="s">
        <v>98</v>
      </c>
      <c r="G80" s="16">
        <v>2</v>
      </c>
      <c r="H80" s="18">
        <v>55</v>
      </c>
    </row>
    <row r="81" spans="1:8" s="18" customFormat="1" x14ac:dyDescent="0.4">
      <c r="A81" s="16"/>
      <c r="B81" s="16"/>
      <c r="C81" s="16"/>
      <c r="D81" s="16"/>
      <c r="E81" s="17">
        <f>DATE(1973,10,28)</f>
        <v>26965</v>
      </c>
      <c r="F81" s="46" t="s">
        <v>98</v>
      </c>
      <c r="G81" s="16">
        <v>2</v>
      </c>
      <c r="H81" s="18">
        <v>55</v>
      </c>
    </row>
    <row r="82" spans="1:8" s="18" customFormat="1" x14ac:dyDescent="0.4">
      <c r="A82" s="16"/>
      <c r="B82" s="16"/>
      <c r="C82" s="16"/>
      <c r="D82" s="16"/>
      <c r="E82" s="17">
        <f>DATE(1973,10,29)</f>
        <v>26966</v>
      </c>
      <c r="F82" s="46" t="s">
        <v>98</v>
      </c>
      <c r="G82" s="16">
        <v>2</v>
      </c>
      <c r="H82" s="18">
        <v>55</v>
      </c>
    </row>
    <row r="83" spans="1:8" s="18" customFormat="1" x14ac:dyDescent="0.4">
      <c r="A83" s="16"/>
      <c r="B83" s="16"/>
      <c r="C83" s="16"/>
      <c r="D83" s="16"/>
      <c r="E83" s="17">
        <f>DATE(1973,10,30)</f>
        <v>26967</v>
      </c>
      <c r="F83" s="46" t="s">
        <v>98</v>
      </c>
      <c r="G83" s="16">
        <v>1</v>
      </c>
      <c r="H83" s="18">
        <v>55</v>
      </c>
    </row>
    <row r="84" spans="1:8" s="18" customFormat="1" x14ac:dyDescent="0.4">
      <c r="A84" s="16"/>
      <c r="B84" s="16"/>
      <c r="C84" s="16"/>
      <c r="D84" s="16"/>
      <c r="E84" s="17">
        <f>DATE(1973,10,31)</f>
        <v>26968</v>
      </c>
      <c r="F84" s="46" t="s">
        <v>98</v>
      </c>
      <c r="G84" s="16">
        <v>1</v>
      </c>
      <c r="H84" s="18">
        <v>55</v>
      </c>
    </row>
    <row r="85" spans="1:8" x14ac:dyDescent="0.4">
      <c r="A85" s="13">
        <v>22</v>
      </c>
      <c r="B85" s="13" t="s">
        <v>412</v>
      </c>
      <c r="E85" s="14" t="s">
        <v>413</v>
      </c>
      <c r="F85" s="19" t="s">
        <v>98</v>
      </c>
      <c r="G85" s="13">
        <v>1</v>
      </c>
      <c r="H85" s="15">
        <v>55</v>
      </c>
    </row>
    <row r="86" spans="1:8" x14ac:dyDescent="0.4">
      <c r="B86" s="13" t="s">
        <v>115</v>
      </c>
      <c r="E86" s="14">
        <f t="shared" ref="E86" si="1">DATE(1973,11,1)</f>
        <v>26969</v>
      </c>
      <c r="F86" s="19" t="s">
        <v>98</v>
      </c>
      <c r="G86" s="13">
        <v>1</v>
      </c>
      <c r="H86" s="15">
        <v>55</v>
      </c>
    </row>
    <row r="87" spans="1:8" x14ac:dyDescent="0.4">
      <c r="E87" s="14">
        <f>DATE(1973,11,2)</f>
        <v>26970</v>
      </c>
      <c r="F87" s="19" t="s">
        <v>98</v>
      </c>
      <c r="G87" s="13">
        <v>1</v>
      </c>
      <c r="H87" s="15">
        <v>55</v>
      </c>
    </row>
    <row r="88" spans="1:8" x14ac:dyDescent="0.4">
      <c r="E88" s="14">
        <f>DATE(1973,11,3)</f>
        <v>26971</v>
      </c>
      <c r="F88" s="19" t="s">
        <v>98</v>
      </c>
      <c r="G88" s="13">
        <v>1</v>
      </c>
      <c r="H88" s="15">
        <v>55</v>
      </c>
    </row>
    <row r="89" spans="1:8" x14ac:dyDescent="0.4">
      <c r="E89" s="14">
        <f>DATE(1973,11,4)</f>
        <v>26972</v>
      </c>
      <c r="F89" s="19" t="s">
        <v>98</v>
      </c>
      <c r="G89" s="13">
        <v>1</v>
      </c>
      <c r="H89" s="15">
        <v>55</v>
      </c>
    </row>
    <row r="90" spans="1:8" x14ac:dyDescent="0.4">
      <c r="E90" s="14">
        <f>DATE(1973,11,5)</f>
        <v>26973</v>
      </c>
      <c r="F90" s="19" t="s">
        <v>98</v>
      </c>
      <c r="G90" s="13">
        <v>2</v>
      </c>
      <c r="H90" s="15">
        <v>55</v>
      </c>
    </row>
    <row r="91" spans="1:8" x14ac:dyDescent="0.4">
      <c r="E91" s="14">
        <f>DATE(1973,11,6)</f>
        <v>26974</v>
      </c>
      <c r="F91" s="19" t="s">
        <v>98</v>
      </c>
      <c r="G91" s="13">
        <v>1</v>
      </c>
      <c r="H91" s="15">
        <v>55</v>
      </c>
    </row>
    <row r="92" spans="1:8" x14ac:dyDescent="0.4">
      <c r="E92" s="14">
        <f>DATE(1973,11,7)</f>
        <v>26975</v>
      </c>
      <c r="F92" s="19" t="s">
        <v>98</v>
      </c>
      <c r="G92" s="13">
        <v>1</v>
      </c>
      <c r="H92" s="15">
        <v>55</v>
      </c>
    </row>
    <row r="93" spans="1:8" x14ac:dyDescent="0.4">
      <c r="E93" s="14">
        <f>DATE(1973,11,8)</f>
        <v>26976</v>
      </c>
      <c r="F93" s="19" t="s">
        <v>98</v>
      </c>
      <c r="G93" s="13">
        <v>1</v>
      </c>
      <c r="H93" s="15">
        <v>55</v>
      </c>
    </row>
    <row r="94" spans="1:8" x14ac:dyDescent="0.4">
      <c r="E94" s="14">
        <f>DATE(1973,11,9)</f>
        <v>26977</v>
      </c>
      <c r="F94" s="19" t="s">
        <v>98</v>
      </c>
      <c r="G94" s="13">
        <v>1</v>
      </c>
      <c r="H94" s="15">
        <v>55</v>
      </c>
    </row>
    <row r="95" spans="1:8" x14ac:dyDescent="0.4">
      <c r="E95" s="14">
        <f>DATE(1973,11,10)</f>
        <v>26978</v>
      </c>
      <c r="F95" s="19" t="s">
        <v>98</v>
      </c>
      <c r="G95" s="13">
        <v>1</v>
      </c>
      <c r="H95" s="15">
        <v>55</v>
      </c>
    </row>
    <row r="96" spans="1:8" x14ac:dyDescent="0.4">
      <c r="E96" s="14">
        <f>DATE(1973,11,11)</f>
        <v>26979</v>
      </c>
      <c r="F96" s="19" t="s">
        <v>98</v>
      </c>
      <c r="G96" s="13">
        <v>1</v>
      </c>
      <c r="H96" s="15">
        <v>55</v>
      </c>
    </row>
    <row r="97" spans="5:8" x14ac:dyDescent="0.4">
      <c r="E97" s="14">
        <f>DATE(1973,11,12)</f>
        <v>26980</v>
      </c>
      <c r="F97" s="19" t="s">
        <v>98</v>
      </c>
      <c r="G97" s="13">
        <v>1</v>
      </c>
      <c r="H97" s="15">
        <v>55</v>
      </c>
    </row>
    <row r="98" spans="5:8" x14ac:dyDescent="0.4">
      <c r="E98" s="14">
        <f>DATE(1973,11,13)</f>
        <v>26981</v>
      </c>
      <c r="F98" s="19" t="s">
        <v>98</v>
      </c>
      <c r="G98" s="13">
        <v>1</v>
      </c>
      <c r="H98" s="15">
        <v>55</v>
      </c>
    </row>
    <row r="99" spans="5:8" x14ac:dyDescent="0.4">
      <c r="E99" s="14">
        <f>DATE(1973,11,14)</f>
        <v>26982</v>
      </c>
      <c r="F99" s="19" t="s">
        <v>98</v>
      </c>
      <c r="G99" s="13">
        <v>1</v>
      </c>
      <c r="H99" s="15">
        <v>55</v>
      </c>
    </row>
    <row r="100" spans="5:8" x14ac:dyDescent="0.4">
      <c r="E100" s="14">
        <f>DATE(1973,11,15)</f>
        <v>26983</v>
      </c>
      <c r="F100" s="19" t="s">
        <v>98</v>
      </c>
      <c r="G100" s="13">
        <v>1</v>
      </c>
      <c r="H100" s="15">
        <v>55</v>
      </c>
    </row>
    <row r="101" spans="5:8" x14ac:dyDescent="0.4">
      <c r="E101" s="14">
        <f>DATE(1973,11,16)</f>
        <v>26984</v>
      </c>
      <c r="F101" s="19" t="s">
        <v>98</v>
      </c>
      <c r="G101" s="13">
        <v>1</v>
      </c>
      <c r="H101" s="15">
        <v>55</v>
      </c>
    </row>
    <row r="102" spans="5:8" x14ac:dyDescent="0.4">
      <c r="E102" s="14">
        <f>DATE(1973,11,17)</f>
        <v>26985</v>
      </c>
      <c r="F102" s="19" t="s">
        <v>98</v>
      </c>
      <c r="G102" s="13">
        <v>1</v>
      </c>
      <c r="H102" s="15">
        <v>55</v>
      </c>
    </row>
    <row r="103" spans="5:8" x14ac:dyDescent="0.4">
      <c r="E103" s="14">
        <f>DATE(1973,11,18)</f>
        <v>26986</v>
      </c>
      <c r="F103" s="19" t="s">
        <v>98</v>
      </c>
      <c r="G103" s="13">
        <v>1</v>
      </c>
      <c r="H103" s="15">
        <v>55</v>
      </c>
    </row>
    <row r="104" spans="5:8" x14ac:dyDescent="0.4">
      <c r="E104" s="14">
        <f>DATE(1973,11,19)</f>
        <v>26987</v>
      </c>
      <c r="F104" s="19" t="s">
        <v>98</v>
      </c>
      <c r="G104" s="13">
        <v>1</v>
      </c>
      <c r="H104" s="15">
        <v>55</v>
      </c>
    </row>
    <row r="105" spans="5:8" x14ac:dyDescent="0.4">
      <c r="E105" s="14">
        <f>DATE(1973,11,20)</f>
        <v>26988</v>
      </c>
      <c r="F105" s="19" t="s">
        <v>98</v>
      </c>
      <c r="G105" s="13">
        <v>2</v>
      </c>
      <c r="H105" s="15">
        <v>55</v>
      </c>
    </row>
    <row r="106" spans="5:8" x14ac:dyDescent="0.4">
      <c r="E106" s="14">
        <f>DATE(1973,11,21)</f>
        <v>26989</v>
      </c>
      <c r="F106" s="19" t="s">
        <v>98</v>
      </c>
      <c r="G106" s="13">
        <v>1</v>
      </c>
      <c r="H106" s="15">
        <v>55</v>
      </c>
    </row>
    <row r="107" spans="5:8" x14ac:dyDescent="0.4">
      <c r="E107" s="14">
        <f>DATE(1973,11,22)</f>
        <v>26990</v>
      </c>
      <c r="F107" s="19" t="s">
        <v>98</v>
      </c>
      <c r="G107" s="13">
        <v>1</v>
      </c>
      <c r="H107" s="15">
        <v>55</v>
      </c>
    </row>
    <row r="108" spans="5:8" x14ac:dyDescent="0.4">
      <c r="E108" s="14">
        <f>DATE(1973,11,23)</f>
        <v>26991</v>
      </c>
      <c r="F108" s="19" t="s">
        <v>98</v>
      </c>
      <c r="G108" s="13">
        <v>1</v>
      </c>
      <c r="H108" s="15">
        <v>55</v>
      </c>
    </row>
    <row r="109" spans="5:8" x14ac:dyDescent="0.4">
      <c r="E109" s="14">
        <f>DATE(1973,11,24)</f>
        <v>26992</v>
      </c>
      <c r="F109" s="19" t="s">
        <v>98</v>
      </c>
      <c r="G109" s="13">
        <v>2</v>
      </c>
      <c r="H109" s="15">
        <v>55</v>
      </c>
    </row>
    <row r="110" spans="5:8" x14ac:dyDescent="0.4">
      <c r="E110" s="14">
        <f>DATE(1973,11,25)</f>
        <v>26993</v>
      </c>
      <c r="F110" s="19" t="s">
        <v>98</v>
      </c>
      <c r="G110" s="13">
        <v>1</v>
      </c>
      <c r="H110" s="15">
        <v>55</v>
      </c>
    </row>
    <row r="111" spans="5:8" x14ac:dyDescent="0.4">
      <c r="E111" s="96">
        <f>DATE(1973,11,26)</f>
        <v>26994</v>
      </c>
      <c r="F111" s="19" t="s">
        <v>98</v>
      </c>
      <c r="G111" s="13">
        <v>1</v>
      </c>
      <c r="H111" s="15">
        <v>55</v>
      </c>
    </row>
    <row r="112" spans="5:8" x14ac:dyDescent="0.4">
      <c r="E112" s="96"/>
      <c r="F112" s="19" t="s">
        <v>51</v>
      </c>
      <c r="G112" s="13">
        <v>1</v>
      </c>
      <c r="H112" s="15">
        <v>55</v>
      </c>
    </row>
    <row r="113" spans="1:8" x14ac:dyDescent="0.4">
      <c r="E113" s="96">
        <f>DATE(1973,11,27)</f>
        <v>26995</v>
      </c>
      <c r="F113" s="19" t="s">
        <v>98</v>
      </c>
      <c r="G113" s="13">
        <v>1</v>
      </c>
      <c r="H113" s="15">
        <v>55</v>
      </c>
    </row>
    <row r="114" spans="1:8" x14ac:dyDescent="0.4">
      <c r="E114" s="96"/>
      <c r="F114" s="19" t="s">
        <v>51</v>
      </c>
      <c r="G114" s="13">
        <v>1</v>
      </c>
      <c r="H114" s="15">
        <v>55</v>
      </c>
    </row>
    <row r="115" spans="1:8" x14ac:dyDescent="0.4">
      <c r="E115" s="96">
        <f>DATE(1973,11,28)</f>
        <v>26996</v>
      </c>
      <c r="F115" s="19" t="s">
        <v>98</v>
      </c>
      <c r="G115" s="13">
        <v>1</v>
      </c>
      <c r="H115" s="15">
        <v>55</v>
      </c>
    </row>
    <row r="116" spans="1:8" x14ac:dyDescent="0.4">
      <c r="E116" s="96"/>
      <c r="F116" s="19" t="s">
        <v>51</v>
      </c>
      <c r="G116" s="13">
        <v>1</v>
      </c>
      <c r="H116" s="15">
        <v>55</v>
      </c>
    </row>
    <row r="117" spans="1:8" x14ac:dyDescent="0.4">
      <c r="E117" s="96">
        <f>DATE(1973,11,29)</f>
        <v>26997</v>
      </c>
      <c r="F117" s="19" t="s">
        <v>98</v>
      </c>
      <c r="G117" s="13">
        <v>1</v>
      </c>
      <c r="H117" s="15">
        <v>55</v>
      </c>
    </row>
    <row r="118" spans="1:8" x14ac:dyDescent="0.4">
      <c r="E118" s="96"/>
      <c r="F118" s="19" t="s">
        <v>51</v>
      </c>
      <c r="G118" s="13">
        <v>1</v>
      </c>
      <c r="H118" s="15">
        <v>55</v>
      </c>
    </row>
    <row r="119" spans="1:8" x14ac:dyDescent="0.4">
      <c r="E119" s="96">
        <f>DATE(1973,11,30)</f>
        <v>26998</v>
      </c>
      <c r="F119" s="19" t="s">
        <v>98</v>
      </c>
      <c r="G119" s="13">
        <v>1</v>
      </c>
      <c r="H119" s="15">
        <v>55</v>
      </c>
    </row>
    <row r="120" spans="1:8" x14ac:dyDescent="0.4">
      <c r="E120" s="96"/>
      <c r="F120" s="19" t="s">
        <v>51</v>
      </c>
      <c r="G120" s="13">
        <v>1</v>
      </c>
      <c r="H120" s="15">
        <v>55</v>
      </c>
    </row>
    <row r="121" spans="1:8" s="18" customFormat="1" x14ac:dyDescent="0.4">
      <c r="A121" s="16">
        <v>23</v>
      </c>
      <c r="B121" s="16" t="s">
        <v>412</v>
      </c>
      <c r="C121" s="16"/>
      <c r="D121" s="16"/>
      <c r="E121" s="17" t="s">
        <v>414</v>
      </c>
      <c r="F121" s="46" t="s">
        <v>415</v>
      </c>
      <c r="G121" s="16">
        <v>1</v>
      </c>
      <c r="H121" s="18">
        <v>55</v>
      </c>
    </row>
    <row r="122" spans="1:8" s="18" customFormat="1" x14ac:dyDescent="0.4">
      <c r="A122" s="16"/>
      <c r="B122" s="16" t="s">
        <v>115</v>
      </c>
      <c r="C122" s="16"/>
      <c r="D122" s="16"/>
      <c r="E122" s="17">
        <f>DATE(1973,12,1)</f>
        <v>26999</v>
      </c>
      <c r="F122" s="46" t="s">
        <v>415</v>
      </c>
      <c r="G122" s="16">
        <v>2</v>
      </c>
      <c r="H122" s="18">
        <v>55</v>
      </c>
    </row>
    <row r="123" spans="1:8" s="18" customFormat="1" x14ac:dyDescent="0.4">
      <c r="A123" s="16"/>
      <c r="B123" s="16"/>
      <c r="C123" s="16"/>
      <c r="D123" s="16"/>
      <c r="E123" s="17">
        <f>DATE(1973,12,2)</f>
        <v>27000</v>
      </c>
      <c r="F123" s="46" t="s">
        <v>415</v>
      </c>
      <c r="G123" s="16">
        <v>2</v>
      </c>
      <c r="H123" s="18">
        <v>55</v>
      </c>
    </row>
    <row r="124" spans="1:8" s="18" customFormat="1" x14ac:dyDescent="0.4">
      <c r="A124" s="16"/>
      <c r="B124" s="16"/>
      <c r="C124" s="16"/>
      <c r="D124" s="16"/>
      <c r="E124" s="17">
        <f>DATE(1973,12,3)</f>
        <v>27001</v>
      </c>
      <c r="F124" s="46" t="s">
        <v>415</v>
      </c>
      <c r="G124" s="16">
        <v>2</v>
      </c>
      <c r="H124" s="18">
        <v>55</v>
      </c>
    </row>
    <row r="125" spans="1:8" s="18" customFormat="1" x14ac:dyDescent="0.4">
      <c r="A125" s="16"/>
      <c r="B125" s="16"/>
      <c r="C125" s="16"/>
      <c r="D125" s="16"/>
      <c r="E125" s="17">
        <f>DATE(1973,12,4)</f>
        <v>27002</v>
      </c>
      <c r="F125" s="46" t="s">
        <v>415</v>
      </c>
      <c r="G125" s="16">
        <v>2</v>
      </c>
      <c r="H125" s="18">
        <v>55</v>
      </c>
    </row>
    <row r="126" spans="1:8" s="18" customFormat="1" x14ac:dyDescent="0.4">
      <c r="A126" s="16"/>
      <c r="B126" s="16"/>
      <c r="C126" s="16"/>
      <c r="D126" s="16"/>
      <c r="E126" s="17">
        <f>DATE(1973,12,5)</f>
        <v>27003</v>
      </c>
      <c r="F126" s="46" t="s">
        <v>415</v>
      </c>
      <c r="G126" s="16">
        <v>2</v>
      </c>
      <c r="H126" s="18">
        <v>55</v>
      </c>
    </row>
    <row r="127" spans="1:8" s="18" customFormat="1" x14ac:dyDescent="0.4">
      <c r="A127" s="16"/>
      <c r="B127" s="16"/>
      <c r="C127" s="16"/>
      <c r="D127" s="16"/>
      <c r="E127" s="17">
        <f>DATE(1973,12,6)</f>
        <v>27004</v>
      </c>
      <c r="F127" s="46" t="s">
        <v>415</v>
      </c>
      <c r="G127" s="16">
        <v>2</v>
      </c>
      <c r="H127" s="18">
        <v>55</v>
      </c>
    </row>
    <row r="128" spans="1:8" s="18" customFormat="1" x14ac:dyDescent="0.4">
      <c r="A128" s="16"/>
      <c r="B128" s="16"/>
      <c r="C128" s="16"/>
      <c r="D128" s="16"/>
      <c r="E128" s="17">
        <f>DATE(1973,12,7)</f>
        <v>27005</v>
      </c>
      <c r="F128" s="46" t="s">
        <v>415</v>
      </c>
      <c r="G128" s="16">
        <v>2</v>
      </c>
      <c r="H128" s="18">
        <v>55</v>
      </c>
    </row>
    <row r="129" spans="1:8" s="18" customFormat="1" x14ac:dyDescent="0.4">
      <c r="A129" s="16"/>
      <c r="B129" s="16"/>
      <c r="C129" s="16"/>
      <c r="D129" s="16"/>
      <c r="E129" s="17">
        <f>DATE(1973,12,8)</f>
        <v>27006</v>
      </c>
      <c r="F129" s="46" t="s">
        <v>415</v>
      </c>
      <c r="G129" s="16">
        <v>2</v>
      </c>
      <c r="H129" s="18">
        <v>55</v>
      </c>
    </row>
    <row r="130" spans="1:8" s="18" customFormat="1" x14ac:dyDescent="0.4">
      <c r="A130" s="16"/>
      <c r="B130" s="16"/>
      <c r="C130" s="16"/>
      <c r="D130" s="16"/>
      <c r="E130" s="17">
        <f>DATE(1973,12,9)</f>
        <v>27007</v>
      </c>
      <c r="F130" s="46" t="s">
        <v>415</v>
      </c>
      <c r="G130" s="16">
        <v>1</v>
      </c>
      <c r="H130" s="18">
        <v>55</v>
      </c>
    </row>
    <row r="131" spans="1:8" s="18" customFormat="1" x14ac:dyDescent="0.4">
      <c r="A131" s="16"/>
      <c r="B131" s="16"/>
      <c r="C131" s="16"/>
      <c r="D131" s="16"/>
      <c r="E131" s="17">
        <f>DATE(1973,12,10)</f>
        <v>27008</v>
      </c>
      <c r="F131" s="46" t="s">
        <v>415</v>
      </c>
      <c r="G131" s="16">
        <v>2</v>
      </c>
      <c r="H131" s="18">
        <v>55</v>
      </c>
    </row>
    <row r="132" spans="1:8" s="18" customFormat="1" x14ac:dyDescent="0.4">
      <c r="A132" s="16"/>
      <c r="B132" s="16"/>
      <c r="C132" s="16"/>
      <c r="D132" s="16"/>
      <c r="E132" s="17">
        <f>DATE(1973,12,11)</f>
        <v>27009</v>
      </c>
      <c r="F132" s="46" t="s">
        <v>415</v>
      </c>
      <c r="G132" s="16">
        <v>1</v>
      </c>
      <c r="H132" s="18">
        <v>55</v>
      </c>
    </row>
    <row r="133" spans="1:8" s="18" customFormat="1" x14ac:dyDescent="0.4">
      <c r="A133" s="16"/>
      <c r="B133" s="16"/>
      <c r="C133" s="16"/>
      <c r="D133" s="16"/>
      <c r="E133" s="17">
        <f>DATE(1973,12,12)</f>
        <v>27010</v>
      </c>
      <c r="F133" s="46" t="s">
        <v>415</v>
      </c>
      <c r="G133" s="16">
        <v>2</v>
      </c>
      <c r="H133" s="18">
        <v>55</v>
      </c>
    </row>
    <row r="134" spans="1:8" s="18" customFormat="1" x14ac:dyDescent="0.4">
      <c r="A134" s="16"/>
      <c r="B134" s="16"/>
      <c r="C134" s="16"/>
      <c r="D134" s="16"/>
      <c r="E134" s="17">
        <f>DATE(1973,12,13)</f>
        <v>27011</v>
      </c>
      <c r="F134" s="46" t="s">
        <v>415</v>
      </c>
      <c r="G134" s="16">
        <v>2</v>
      </c>
      <c r="H134" s="18">
        <v>55</v>
      </c>
    </row>
    <row r="135" spans="1:8" s="18" customFormat="1" x14ac:dyDescent="0.4">
      <c r="A135" s="16"/>
      <c r="B135" s="16"/>
      <c r="C135" s="16"/>
      <c r="D135" s="16"/>
      <c r="E135" s="17">
        <f>DATE(1973,12,14)</f>
        <v>27012</v>
      </c>
      <c r="F135" s="46" t="s">
        <v>415</v>
      </c>
      <c r="G135" s="16">
        <v>2</v>
      </c>
      <c r="H135" s="18">
        <v>55</v>
      </c>
    </row>
    <row r="136" spans="1:8" s="18" customFormat="1" x14ac:dyDescent="0.4">
      <c r="A136" s="16"/>
      <c r="B136" s="16"/>
      <c r="C136" s="16"/>
      <c r="D136" s="16"/>
      <c r="E136" s="17">
        <f>DATE(1973,12,15)</f>
        <v>27013</v>
      </c>
      <c r="F136" s="46" t="s">
        <v>415</v>
      </c>
      <c r="G136" s="16">
        <v>2</v>
      </c>
      <c r="H136" s="18">
        <v>55</v>
      </c>
    </row>
    <row r="137" spans="1:8" s="18" customFormat="1" x14ac:dyDescent="0.4">
      <c r="A137" s="16"/>
      <c r="B137" s="16"/>
      <c r="C137" s="16"/>
      <c r="D137" s="16"/>
      <c r="E137" s="17">
        <f>DATE(1973,12,16)</f>
        <v>27014</v>
      </c>
      <c r="F137" s="46" t="s">
        <v>415</v>
      </c>
      <c r="G137" s="16">
        <v>2</v>
      </c>
      <c r="H137" s="18">
        <v>55</v>
      </c>
    </row>
    <row r="138" spans="1:8" s="18" customFormat="1" x14ac:dyDescent="0.4">
      <c r="A138" s="16"/>
      <c r="B138" s="16"/>
      <c r="C138" s="16"/>
      <c r="D138" s="16"/>
      <c r="E138" s="17">
        <f>DATE(1973,12,17)</f>
        <v>27015</v>
      </c>
      <c r="F138" s="46" t="s">
        <v>415</v>
      </c>
      <c r="G138" s="16">
        <v>2</v>
      </c>
      <c r="H138" s="18">
        <v>55</v>
      </c>
    </row>
    <row r="139" spans="1:8" s="18" customFormat="1" x14ac:dyDescent="0.4">
      <c r="A139" s="16"/>
      <c r="B139" s="16"/>
      <c r="C139" s="16"/>
      <c r="D139" s="16"/>
      <c r="E139" s="17">
        <f>DATE(1973,12,18)</f>
        <v>27016</v>
      </c>
      <c r="F139" s="46" t="s">
        <v>415</v>
      </c>
      <c r="G139" s="16">
        <v>2</v>
      </c>
      <c r="H139" s="18">
        <v>55</v>
      </c>
    </row>
    <row r="140" spans="1:8" s="18" customFormat="1" x14ac:dyDescent="0.4">
      <c r="A140" s="16"/>
      <c r="B140" s="16"/>
      <c r="C140" s="16"/>
      <c r="D140" s="16"/>
      <c r="E140" s="17">
        <f>DATE(1973,12,19)</f>
        <v>27017</v>
      </c>
      <c r="F140" s="46" t="s">
        <v>415</v>
      </c>
      <c r="G140" s="16">
        <v>2</v>
      </c>
      <c r="H140" s="18">
        <v>55</v>
      </c>
    </row>
    <row r="141" spans="1:8" s="18" customFormat="1" x14ac:dyDescent="0.4">
      <c r="A141" s="16"/>
      <c r="B141" s="16"/>
      <c r="C141" s="16"/>
      <c r="D141" s="16"/>
      <c r="E141" s="17">
        <f>DATE(1973,12,20)</f>
        <v>27018</v>
      </c>
      <c r="F141" s="46" t="s">
        <v>415</v>
      </c>
      <c r="G141" s="16">
        <v>2</v>
      </c>
      <c r="H141" s="18">
        <v>55</v>
      </c>
    </row>
    <row r="142" spans="1:8" s="18" customFormat="1" x14ac:dyDescent="0.4">
      <c r="A142" s="16"/>
      <c r="B142" s="16"/>
      <c r="C142" s="16"/>
      <c r="D142" s="16"/>
      <c r="E142" s="17">
        <f>DATE(1973,12,21)</f>
        <v>27019</v>
      </c>
      <c r="F142" s="46" t="s">
        <v>415</v>
      </c>
      <c r="G142" s="16">
        <v>2</v>
      </c>
      <c r="H142" s="18">
        <v>55</v>
      </c>
    </row>
    <row r="143" spans="1:8" s="18" customFormat="1" x14ac:dyDescent="0.4">
      <c r="A143" s="16"/>
      <c r="B143" s="16"/>
      <c r="C143" s="16"/>
      <c r="D143" s="16"/>
      <c r="E143" s="17">
        <f>DATE(1973,12,22)</f>
        <v>27020</v>
      </c>
      <c r="F143" s="46" t="s">
        <v>415</v>
      </c>
      <c r="G143" s="16">
        <v>2</v>
      </c>
      <c r="H143" s="18">
        <v>55</v>
      </c>
    </row>
    <row r="144" spans="1:8" s="18" customFormat="1" x14ac:dyDescent="0.4">
      <c r="A144" s="16"/>
      <c r="B144" s="16"/>
      <c r="C144" s="16"/>
      <c r="D144" s="16"/>
      <c r="E144" s="17">
        <f>DATE(1973,12,23)</f>
        <v>27021</v>
      </c>
      <c r="F144" s="46" t="s">
        <v>415</v>
      </c>
      <c r="G144" s="16">
        <v>1</v>
      </c>
      <c r="H144" s="18">
        <v>55</v>
      </c>
    </row>
    <row r="145" spans="1:8" s="18" customFormat="1" x14ac:dyDescent="0.4">
      <c r="A145" s="16"/>
      <c r="B145" s="16"/>
      <c r="C145" s="16"/>
      <c r="D145" s="16"/>
      <c r="E145" s="17">
        <f>DATE(1973,12,24)</f>
        <v>27022</v>
      </c>
      <c r="F145" s="46" t="s">
        <v>415</v>
      </c>
      <c r="G145" s="16">
        <v>1</v>
      </c>
      <c r="H145" s="18">
        <v>55</v>
      </c>
    </row>
    <row r="146" spans="1:8" s="18" customFormat="1" x14ac:dyDescent="0.4">
      <c r="A146" s="16"/>
      <c r="B146" s="16"/>
      <c r="C146" s="16"/>
      <c r="D146" s="16"/>
      <c r="E146" s="17">
        <f>DATE(1973,12,25)</f>
        <v>27023</v>
      </c>
      <c r="F146" s="46" t="s">
        <v>415</v>
      </c>
      <c r="G146" s="16">
        <v>1</v>
      </c>
      <c r="H146" s="18">
        <v>55</v>
      </c>
    </row>
    <row r="147" spans="1:8" s="18" customFormat="1" x14ac:dyDescent="0.4">
      <c r="A147" s="16"/>
      <c r="B147" s="16"/>
      <c r="C147" s="16"/>
      <c r="D147" s="16"/>
      <c r="E147" s="17">
        <f>DATE(1973,12,26)</f>
        <v>27024</v>
      </c>
      <c r="F147" s="46" t="s">
        <v>415</v>
      </c>
      <c r="G147" s="16">
        <v>1</v>
      </c>
      <c r="H147" s="18">
        <v>55</v>
      </c>
    </row>
    <row r="148" spans="1:8" s="18" customFormat="1" x14ac:dyDescent="0.4">
      <c r="A148" s="16"/>
      <c r="B148" s="16"/>
      <c r="C148" s="16"/>
      <c r="D148" s="16"/>
      <c r="E148" s="17">
        <f>DATE(1973,12,27)</f>
        <v>27025</v>
      </c>
      <c r="F148" s="46" t="s">
        <v>415</v>
      </c>
      <c r="G148" s="16">
        <v>1</v>
      </c>
      <c r="H148" s="18">
        <v>55</v>
      </c>
    </row>
    <row r="149" spans="1:8" s="18" customFormat="1" x14ac:dyDescent="0.4">
      <c r="A149" s="16"/>
      <c r="B149" s="16"/>
      <c r="C149" s="16"/>
      <c r="D149" s="16"/>
      <c r="E149" s="17">
        <f>DATE(1973,12,28)</f>
        <v>27026</v>
      </c>
      <c r="F149" s="46" t="s">
        <v>415</v>
      </c>
      <c r="G149" s="16">
        <v>1</v>
      </c>
      <c r="H149" s="18">
        <v>55</v>
      </c>
    </row>
    <row r="150" spans="1:8" s="18" customFormat="1" x14ac:dyDescent="0.4">
      <c r="A150" s="16"/>
      <c r="B150" s="16"/>
      <c r="C150" s="16"/>
      <c r="D150" s="16"/>
      <c r="E150" s="17">
        <f>DATE(1973,12,29)</f>
        <v>27027</v>
      </c>
      <c r="F150" s="46" t="s">
        <v>415</v>
      </c>
      <c r="G150" s="16">
        <v>1</v>
      </c>
      <c r="H150" s="18">
        <v>55</v>
      </c>
    </row>
    <row r="151" spans="1:8" s="18" customFormat="1" x14ac:dyDescent="0.4">
      <c r="A151" s="16"/>
      <c r="B151" s="16"/>
      <c r="C151" s="16"/>
      <c r="D151" s="16"/>
      <c r="E151" s="17">
        <f>DATE(1973,12,30)</f>
        <v>27028</v>
      </c>
      <c r="F151" s="46" t="s">
        <v>415</v>
      </c>
      <c r="G151" s="16">
        <v>2</v>
      </c>
      <c r="H151" s="18">
        <v>55</v>
      </c>
    </row>
    <row r="152" spans="1:8" s="18" customFormat="1" x14ac:dyDescent="0.4">
      <c r="A152" s="16"/>
      <c r="B152" s="16"/>
      <c r="C152" s="16"/>
      <c r="D152" s="16"/>
      <c r="E152" s="17">
        <f>DATE(1973,12,31)</f>
        <v>27029</v>
      </c>
      <c r="F152" s="46" t="s">
        <v>415</v>
      </c>
      <c r="G152" s="16">
        <v>1</v>
      </c>
      <c r="H152" s="18">
        <v>55</v>
      </c>
    </row>
    <row r="153" spans="1:8" x14ac:dyDescent="0.4">
      <c r="A153" s="13">
        <v>24</v>
      </c>
      <c r="B153" s="13" t="s">
        <v>412</v>
      </c>
      <c r="E153" s="14" t="s">
        <v>416</v>
      </c>
      <c r="F153" s="19" t="s">
        <v>98</v>
      </c>
      <c r="G153" s="13">
        <v>1</v>
      </c>
      <c r="H153" s="15">
        <v>55</v>
      </c>
    </row>
    <row r="154" spans="1:8" x14ac:dyDescent="0.4">
      <c r="B154" s="13" t="s">
        <v>115</v>
      </c>
      <c r="E154" s="14">
        <f>DATE(1976,7,9)</f>
        <v>27950</v>
      </c>
      <c r="F154" s="19" t="s">
        <v>98</v>
      </c>
      <c r="G154" s="13">
        <v>2</v>
      </c>
      <c r="H154" s="15">
        <v>55</v>
      </c>
    </row>
    <row r="155" spans="1:8" x14ac:dyDescent="0.4">
      <c r="E155" s="14">
        <f>DATE(1976,7,10)</f>
        <v>27951</v>
      </c>
      <c r="F155" s="19" t="s">
        <v>98</v>
      </c>
      <c r="G155" s="13">
        <v>1</v>
      </c>
      <c r="H155" s="15">
        <v>55</v>
      </c>
    </row>
    <row r="156" spans="1:8" x14ac:dyDescent="0.4">
      <c r="E156" s="14">
        <f>DATE(1976,7,12)</f>
        <v>27953</v>
      </c>
      <c r="F156" s="19" t="s">
        <v>98</v>
      </c>
      <c r="G156" s="13">
        <v>1</v>
      </c>
      <c r="H156" s="15">
        <v>55</v>
      </c>
    </row>
    <row r="157" spans="1:8" x14ac:dyDescent="0.4">
      <c r="E157" s="14">
        <f>DATE(1976,7,13)</f>
        <v>27954</v>
      </c>
      <c r="F157" s="19" t="s">
        <v>98</v>
      </c>
      <c r="G157" s="13">
        <v>3</v>
      </c>
      <c r="H157" s="15">
        <v>55</v>
      </c>
    </row>
    <row r="158" spans="1:8" x14ac:dyDescent="0.4">
      <c r="E158" s="14">
        <f>DATE(1976,7,19)</f>
        <v>27960</v>
      </c>
      <c r="F158" s="19" t="s">
        <v>98</v>
      </c>
      <c r="G158" s="13">
        <v>1</v>
      </c>
      <c r="H158" s="15">
        <v>55</v>
      </c>
    </row>
    <row r="159" spans="1:8" x14ac:dyDescent="0.4">
      <c r="E159" s="14">
        <f>DATE(1976,7,20)</f>
        <v>27961</v>
      </c>
      <c r="F159" s="19" t="s">
        <v>98</v>
      </c>
      <c r="G159" s="13">
        <v>2</v>
      </c>
      <c r="H159" s="15">
        <v>55</v>
      </c>
    </row>
    <row r="160" spans="1:8" s="18" customFormat="1" x14ac:dyDescent="0.4">
      <c r="A160" s="16">
        <v>25</v>
      </c>
      <c r="B160" s="16" t="s">
        <v>115</v>
      </c>
      <c r="C160" s="16"/>
      <c r="D160" s="16"/>
      <c r="E160" s="17">
        <f>DATE(1976,8,21)</f>
        <v>27993</v>
      </c>
      <c r="F160" s="46" t="s">
        <v>98</v>
      </c>
      <c r="G160" s="16">
        <v>1</v>
      </c>
      <c r="H160" s="18">
        <v>55</v>
      </c>
    </row>
    <row r="161" spans="1:8" x14ac:dyDescent="0.4">
      <c r="A161" s="13">
        <v>26</v>
      </c>
      <c r="B161" s="13" t="s">
        <v>115</v>
      </c>
      <c r="E161" s="14">
        <f>DATE(1976,10,15)</f>
        <v>28048</v>
      </c>
      <c r="F161" s="19" t="s">
        <v>98</v>
      </c>
      <c r="G161" s="13">
        <v>11</v>
      </c>
      <c r="H161" s="15">
        <v>55</v>
      </c>
    </row>
    <row r="162" spans="1:8" x14ac:dyDescent="0.4">
      <c r="E162" s="14">
        <f>DATE(1976,10,16)</f>
        <v>28049</v>
      </c>
      <c r="F162" s="19" t="s">
        <v>98</v>
      </c>
      <c r="G162" s="13">
        <v>5</v>
      </c>
      <c r="H162" s="15">
        <v>55</v>
      </c>
    </row>
    <row r="163" spans="1:8" s="18" customFormat="1" x14ac:dyDescent="0.4">
      <c r="A163" s="16">
        <v>27</v>
      </c>
      <c r="B163" s="16" t="s">
        <v>115</v>
      </c>
      <c r="C163" s="16"/>
      <c r="D163" s="16"/>
      <c r="E163" s="17">
        <f>DATE(1976,12,11)</f>
        <v>28105</v>
      </c>
      <c r="F163" s="46" t="s">
        <v>98</v>
      </c>
      <c r="G163" s="16">
        <v>6</v>
      </c>
      <c r="H163" s="18">
        <v>55</v>
      </c>
    </row>
    <row r="164" spans="1:8" x14ac:dyDescent="0.4">
      <c r="A164" s="13">
        <v>28</v>
      </c>
      <c r="B164" s="13" t="s">
        <v>115</v>
      </c>
      <c r="E164" s="14">
        <f>DATE(1977,8,10)</f>
        <v>28347</v>
      </c>
      <c r="F164" s="19" t="s">
        <v>98</v>
      </c>
      <c r="G164" s="13">
        <v>2</v>
      </c>
      <c r="H164" s="15">
        <v>55</v>
      </c>
    </row>
    <row r="165" spans="1:8" x14ac:dyDescent="0.4">
      <c r="E165" s="14">
        <f>DATE(1977,8,21)</f>
        <v>28358</v>
      </c>
      <c r="F165" s="19" t="s">
        <v>98</v>
      </c>
      <c r="G165" s="13">
        <v>4</v>
      </c>
      <c r="H165" s="15">
        <v>55</v>
      </c>
    </row>
    <row r="166" spans="1:8" x14ac:dyDescent="0.4">
      <c r="E166" s="14">
        <f>DATE(1977,8,23)</f>
        <v>28360</v>
      </c>
      <c r="F166" s="19" t="s">
        <v>98</v>
      </c>
      <c r="G166" s="13">
        <v>2</v>
      </c>
      <c r="H166" s="15">
        <v>55</v>
      </c>
    </row>
    <row r="167" spans="1:8" x14ac:dyDescent="0.4">
      <c r="E167" s="14">
        <f>DATE(1977,8,31)</f>
        <v>28368</v>
      </c>
      <c r="F167" s="19" t="s">
        <v>98</v>
      </c>
      <c r="G167" s="13">
        <v>3</v>
      </c>
      <c r="H167" s="15">
        <v>55</v>
      </c>
    </row>
    <row r="168" spans="1:8" s="18" customFormat="1" x14ac:dyDescent="0.4">
      <c r="A168" s="16">
        <v>29</v>
      </c>
      <c r="B168" s="16" t="s">
        <v>115</v>
      </c>
      <c r="C168" s="16"/>
      <c r="D168" s="16"/>
      <c r="E168" s="17">
        <f>DATE(1977,10,3)</f>
        <v>28401</v>
      </c>
      <c r="F168" s="46" t="s">
        <v>98</v>
      </c>
      <c r="G168" s="16">
        <v>8</v>
      </c>
      <c r="H168" s="18">
        <v>55</v>
      </c>
    </row>
    <row r="169" spans="1:8" x14ac:dyDescent="0.4">
      <c r="A169" s="13">
        <v>30</v>
      </c>
      <c r="B169" s="13" t="s">
        <v>417</v>
      </c>
      <c r="E169" s="14">
        <f>DATE(1979,1,16)</f>
        <v>28871</v>
      </c>
      <c r="F169" s="19" t="s">
        <v>51</v>
      </c>
      <c r="G169" s="13">
        <v>1</v>
      </c>
      <c r="H169" s="15">
        <v>56</v>
      </c>
    </row>
    <row r="170" spans="1:8" x14ac:dyDescent="0.4">
      <c r="E170" s="14">
        <f>DATE(1979,2,8)</f>
        <v>28894</v>
      </c>
      <c r="F170" s="19" t="s">
        <v>51</v>
      </c>
      <c r="G170" s="13">
        <v>7</v>
      </c>
      <c r="H170" s="15">
        <v>56</v>
      </c>
    </row>
    <row r="171" spans="1:8" x14ac:dyDescent="0.4">
      <c r="E171" s="14">
        <f>DATE(1979,2,9)</f>
        <v>28895</v>
      </c>
      <c r="F171" s="19" t="s">
        <v>51</v>
      </c>
      <c r="G171" s="13">
        <v>3</v>
      </c>
      <c r="H171" s="15">
        <v>56</v>
      </c>
    </row>
    <row r="172" spans="1:8" x14ac:dyDescent="0.4">
      <c r="E172" s="14">
        <f>DATE(1979,3,10)</f>
        <v>28924</v>
      </c>
      <c r="F172" s="19" t="s">
        <v>51</v>
      </c>
      <c r="G172" s="13">
        <v>3</v>
      </c>
      <c r="H172" s="15">
        <v>56</v>
      </c>
    </row>
    <row r="173" spans="1:8" x14ac:dyDescent="0.4">
      <c r="E173" s="14">
        <f>DATE(1979,3,11)</f>
        <v>28925</v>
      </c>
      <c r="F173" s="19" t="s">
        <v>51</v>
      </c>
      <c r="G173" s="13">
        <v>2</v>
      </c>
      <c r="H173" s="15">
        <v>56</v>
      </c>
    </row>
    <row r="174" spans="1:8" x14ac:dyDescent="0.4">
      <c r="E174" s="14">
        <f>DATE(1979,4,20)</f>
        <v>28965</v>
      </c>
      <c r="F174" s="19" t="s">
        <v>51</v>
      </c>
      <c r="G174" s="13">
        <v>6</v>
      </c>
      <c r="H174" s="15">
        <v>56</v>
      </c>
    </row>
    <row r="175" spans="1:8" s="18" customFormat="1" x14ac:dyDescent="0.4">
      <c r="A175" s="16">
        <v>31</v>
      </c>
      <c r="B175" s="16" t="s">
        <v>418</v>
      </c>
      <c r="C175" s="16"/>
      <c r="D175" s="16"/>
      <c r="E175" s="17" t="s">
        <v>419</v>
      </c>
      <c r="F175" s="46" t="s">
        <v>51</v>
      </c>
      <c r="G175" s="18">
        <v>1</v>
      </c>
      <c r="H175" s="18">
        <v>56</v>
      </c>
    </row>
    <row r="176" spans="1:8" s="18" customFormat="1" x14ac:dyDescent="0.4">
      <c r="A176" s="16"/>
      <c r="B176" s="16" t="s">
        <v>420</v>
      </c>
      <c r="C176" s="16"/>
      <c r="D176" s="16"/>
      <c r="E176" s="17">
        <f>DATE(1984,1,1)</f>
        <v>30682</v>
      </c>
      <c r="F176" s="46" t="s">
        <v>51</v>
      </c>
      <c r="G176" s="16">
        <v>2</v>
      </c>
      <c r="H176" s="18">
        <v>56</v>
      </c>
    </row>
    <row r="177" spans="1:8" s="18" customFormat="1" x14ac:dyDescent="0.4">
      <c r="A177" s="16"/>
      <c r="B177" s="16"/>
      <c r="C177" s="16"/>
      <c r="D177" s="16"/>
      <c r="E177" s="17">
        <f>DATE(1984,1,5)</f>
        <v>30686</v>
      </c>
      <c r="F177" s="46" t="s">
        <v>51</v>
      </c>
      <c r="G177" s="16">
        <v>2</v>
      </c>
      <c r="H177" s="18">
        <v>56</v>
      </c>
    </row>
    <row r="178" spans="1:8" s="18" customFormat="1" x14ac:dyDescent="0.4">
      <c r="A178" s="16"/>
      <c r="B178" s="16"/>
      <c r="C178" s="16"/>
      <c r="D178" s="16"/>
      <c r="E178" s="17">
        <f>DATE(1984,1,10)</f>
        <v>30691</v>
      </c>
      <c r="F178" s="46" t="s">
        <v>51</v>
      </c>
      <c r="G178" s="16">
        <v>1</v>
      </c>
      <c r="H178" s="18">
        <v>56</v>
      </c>
    </row>
    <row r="179" spans="1:8" s="18" customFormat="1" x14ac:dyDescent="0.4">
      <c r="A179" s="16"/>
      <c r="B179" s="16"/>
      <c r="C179" s="16"/>
      <c r="D179" s="16"/>
      <c r="E179" s="17">
        <f>DATE(1984,1,19)</f>
        <v>30700</v>
      </c>
      <c r="F179" s="46" t="s">
        <v>51</v>
      </c>
      <c r="G179" s="16">
        <v>2</v>
      </c>
      <c r="H179" s="18">
        <v>56</v>
      </c>
    </row>
    <row r="180" spans="1:8" s="18" customFormat="1" x14ac:dyDescent="0.4">
      <c r="A180" s="16"/>
      <c r="B180" s="16"/>
      <c r="C180" s="16"/>
      <c r="D180" s="16"/>
      <c r="E180" s="17">
        <f>DATE(1984,1,27)</f>
        <v>30708</v>
      </c>
      <c r="F180" s="46" t="s">
        <v>51</v>
      </c>
      <c r="G180" s="16">
        <v>1</v>
      </c>
      <c r="H180" s="18">
        <v>56</v>
      </c>
    </row>
    <row r="181" spans="1:8" s="18" customFormat="1" x14ac:dyDescent="0.4">
      <c r="A181" s="16"/>
      <c r="B181" s="16"/>
      <c r="C181" s="16"/>
      <c r="D181" s="16"/>
      <c r="E181" s="17">
        <f>DATE(1984,1,29)</f>
        <v>30710</v>
      </c>
      <c r="F181" s="46" t="s">
        <v>51</v>
      </c>
      <c r="G181" s="16">
        <v>2</v>
      </c>
      <c r="H181" s="18">
        <v>56</v>
      </c>
    </row>
    <row r="182" spans="1:8" s="18" customFormat="1" x14ac:dyDescent="0.4">
      <c r="A182" s="16"/>
      <c r="B182" s="16"/>
      <c r="C182" s="16"/>
      <c r="D182" s="16"/>
      <c r="E182" s="17">
        <f>DATE(1984,1,31)</f>
        <v>30712</v>
      </c>
      <c r="F182" s="46" t="s">
        <v>51</v>
      </c>
      <c r="G182" s="16">
        <v>1</v>
      </c>
      <c r="H182" s="18">
        <v>56</v>
      </c>
    </row>
    <row r="183" spans="1:8" x14ac:dyDescent="0.4">
      <c r="A183" s="13">
        <v>32</v>
      </c>
      <c r="B183" s="13" t="s">
        <v>421</v>
      </c>
      <c r="E183" s="14" t="s">
        <v>422</v>
      </c>
      <c r="F183" s="19" t="s">
        <v>51</v>
      </c>
      <c r="G183" s="13">
        <v>1</v>
      </c>
      <c r="H183" s="15">
        <v>56</v>
      </c>
    </row>
    <row r="184" spans="1:8" x14ac:dyDescent="0.4">
      <c r="B184" s="13" t="s">
        <v>423</v>
      </c>
      <c r="E184" s="14">
        <f>DATE(1984,2,1)</f>
        <v>30713</v>
      </c>
      <c r="F184" s="19" t="s">
        <v>51</v>
      </c>
      <c r="G184" s="13">
        <v>1</v>
      </c>
      <c r="H184" s="15">
        <v>56</v>
      </c>
    </row>
    <row r="185" spans="1:8" x14ac:dyDescent="0.4">
      <c r="E185" s="14">
        <f>DATE(1984,2,2)</f>
        <v>30714</v>
      </c>
      <c r="F185" s="19" t="s">
        <v>51</v>
      </c>
      <c r="G185" s="13">
        <v>2</v>
      </c>
      <c r="H185" s="15">
        <v>56</v>
      </c>
    </row>
    <row r="186" spans="1:8" x14ac:dyDescent="0.4">
      <c r="E186" s="14">
        <f>DATE(1984,2,7)</f>
        <v>30719</v>
      </c>
      <c r="F186" s="19" t="s">
        <v>51</v>
      </c>
      <c r="G186" s="13">
        <v>1</v>
      </c>
      <c r="H186" s="15">
        <v>56</v>
      </c>
    </row>
    <row r="187" spans="1:8" x14ac:dyDescent="0.4">
      <c r="E187" s="14">
        <f>DATE(1984,2,10)</f>
        <v>30722</v>
      </c>
      <c r="F187" s="19" t="s">
        <v>51</v>
      </c>
      <c r="G187" s="13">
        <v>6</v>
      </c>
      <c r="H187" s="15">
        <v>56</v>
      </c>
    </row>
    <row r="188" spans="1:8" x14ac:dyDescent="0.4">
      <c r="E188" s="14">
        <f>DATE(1984,2,11)</f>
        <v>30723</v>
      </c>
      <c r="F188" s="19" t="s">
        <v>51</v>
      </c>
      <c r="G188" s="13">
        <v>2</v>
      </c>
      <c r="H188" s="15">
        <v>56</v>
      </c>
    </row>
    <row r="189" spans="1:8" x14ac:dyDescent="0.4">
      <c r="E189" s="14">
        <f>DATE(1984,2,14)</f>
        <v>30726</v>
      </c>
      <c r="F189" s="19" t="s">
        <v>51</v>
      </c>
      <c r="G189" s="13">
        <v>1</v>
      </c>
      <c r="H189" s="15">
        <v>56</v>
      </c>
    </row>
    <row r="190" spans="1:8" x14ac:dyDescent="0.4">
      <c r="E190" s="14">
        <f>DATE(1984,2,17)</f>
        <v>30729</v>
      </c>
      <c r="F190" s="19" t="s">
        <v>51</v>
      </c>
      <c r="G190" s="13">
        <v>2</v>
      </c>
      <c r="H190" s="15">
        <v>56</v>
      </c>
    </row>
    <row r="191" spans="1:8" x14ac:dyDescent="0.4">
      <c r="E191" s="14">
        <f>DATE(1984,2,18)</f>
        <v>30730</v>
      </c>
      <c r="F191" s="19" t="s">
        <v>51</v>
      </c>
      <c r="G191" s="13">
        <v>1</v>
      </c>
      <c r="H191" s="15">
        <v>56</v>
      </c>
    </row>
    <row r="192" spans="1:8" x14ac:dyDescent="0.4">
      <c r="E192" s="14">
        <f>DATE(1984,2,20)</f>
        <v>30732</v>
      </c>
      <c r="F192" s="19" t="s">
        <v>51</v>
      </c>
      <c r="G192" s="13">
        <v>2</v>
      </c>
      <c r="H192" s="15">
        <v>56</v>
      </c>
    </row>
    <row r="193" spans="1:8" x14ac:dyDescent="0.4">
      <c r="E193" s="14">
        <f>DATE(1984,2,21)</f>
        <v>30733</v>
      </c>
      <c r="F193" s="19" t="s">
        <v>51</v>
      </c>
      <c r="G193" s="13">
        <v>2</v>
      </c>
      <c r="H193" s="15">
        <v>56</v>
      </c>
    </row>
    <row r="194" spans="1:8" x14ac:dyDescent="0.4">
      <c r="E194" s="14">
        <f>DATE(1984,2,27)</f>
        <v>30739</v>
      </c>
      <c r="F194" s="19" t="s">
        <v>51</v>
      </c>
      <c r="G194" s="13">
        <v>2</v>
      </c>
      <c r="H194" s="15">
        <v>56</v>
      </c>
    </row>
    <row r="195" spans="1:8" s="18" customFormat="1" x14ac:dyDescent="0.4">
      <c r="A195" s="16">
        <v>33</v>
      </c>
      <c r="B195" s="16" t="s">
        <v>421</v>
      </c>
      <c r="C195" s="16"/>
      <c r="D195" s="16"/>
      <c r="E195" s="17" t="s">
        <v>424</v>
      </c>
      <c r="F195" s="46" t="s">
        <v>51</v>
      </c>
      <c r="G195" s="16">
        <v>1</v>
      </c>
      <c r="H195" s="18">
        <v>56</v>
      </c>
    </row>
    <row r="196" spans="1:8" s="18" customFormat="1" x14ac:dyDescent="0.4">
      <c r="A196" s="16"/>
      <c r="B196" s="16" t="s">
        <v>423</v>
      </c>
      <c r="C196" s="16"/>
      <c r="D196" s="16"/>
      <c r="E196" s="17">
        <f>DATE(1984,3,1)</f>
        <v>30742</v>
      </c>
      <c r="F196" s="46" t="s">
        <v>51</v>
      </c>
      <c r="G196" s="16">
        <v>1</v>
      </c>
      <c r="H196" s="18">
        <v>56</v>
      </c>
    </row>
    <row r="197" spans="1:8" s="18" customFormat="1" x14ac:dyDescent="0.4">
      <c r="A197" s="16"/>
      <c r="B197" s="16"/>
      <c r="C197" s="16"/>
      <c r="D197" s="16"/>
      <c r="E197" s="17">
        <f>DATE(1984,3,2)</f>
        <v>30743</v>
      </c>
      <c r="F197" s="46" t="s">
        <v>51</v>
      </c>
      <c r="G197" s="16">
        <v>1</v>
      </c>
      <c r="H197" s="18">
        <v>56</v>
      </c>
    </row>
    <row r="198" spans="1:8" s="18" customFormat="1" x14ac:dyDescent="0.4">
      <c r="A198" s="16"/>
      <c r="B198" s="16"/>
      <c r="C198" s="16"/>
      <c r="D198" s="16"/>
      <c r="E198" s="17">
        <f>DATE(1984,3,4)</f>
        <v>30745</v>
      </c>
      <c r="F198" s="46" t="s">
        <v>51</v>
      </c>
      <c r="G198" s="16">
        <v>2</v>
      </c>
      <c r="H198" s="18">
        <v>56</v>
      </c>
    </row>
    <row r="199" spans="1:8" s="18" customFormat="1" x14ac:dyDescent="0.4">
      <c r="A199" s="16"/>
      <c r="B199" s="16"/>
      <c r="C199" s="16"/>
      <c r="D199" s="16"/>
      <c r="E199" s="17">
        <f>DATE(1984,3,7)</f>
        <v>30748</v>
      </c>
      <c r="F199" s="46" t="s">
        <v>51</v>
      </c>
      <c r="G199" s="16">
        <v>1</v>
      </c>
      <c r="H199" s="18">
        <v>56</v>
      </c>
    </row>
    <row r="200" spans="1:8" s="18" customFormat="1" x14ac:dyDescent="0.4">
      <c r="A200" s="16"/>
      <c r="B200" s="16"/>
      <c r="C200" s="16"/>
      <c r="D200" s="16"/>
      <c r="E200" s="17">
        <f>DATE(1984,3,8)</f>
        <v>30749</v>
      </c>
      <c r="F200" s="46" t="s">
        <v>51</v>
      </c>
      <c r="G200" s="16">
        <v>8</v>
      </c>
      <c r="H200" s="18">
        <v>56</v>
      </c>
    </row>
    <row r="201" spans="1:8" s="18" customFormat="1" x14ac:dyDescent="0.4">
      <c r="A201" s="16"/>
      <c r="B201" s="16"/>
      <c r="C201" s="16"/>
      <c r="D201" s="16"/>
      <c r="E201" s="17">
        <f>DATE(1984,3,9)</f>
        <v>30750</v>
      </c>
      <c r="F201" s="46" t="s">
        <v>51</v>
      </c>
      <c r="G201" s="16">
        <v>1</v>
      </c>
      <c r="H201" s="18">
        <v>56</v>
      </c>
    </row>
    <row r="202" spans="1:8" s="18" customFormat="1" x14ac:dyDescent="0.4">
      <c r="A202" s="16"/>
      <c r="B202" s="16"/>
      <c r="C202" s="16"/>
      <c r="D202" s="16"/>
      <c r="E202" s="17">
        <f>DATE(1984,3,15)</f>
        <v>30756</v>
      </c>
      <c r="F202" s="46" t="s">
        <v>51</v>
      </c>
      <c r="G202" s="16">
        <v>1</v>
      </c>
      <c r="H202" s="18">
        <v>56</v>
      </c>
    </row>
    <row r="203" spans="1:8" s="18" customFormat="1" x14ac:dyDescent="0.4">
      <c r="A203" s="16"/>
      <c r="B203" s="16"/>
      <c r="C203" s="16"/>
      <c r="D203" s="16"/>
      <c r="E203" s="17">
        <f>DATE(1984,3,18)</f>
        <v>30759</v>
      </c>
      <c r="F203" s="46" t="s">
        <v>51</v>
      </c>
      <c r="G203" s="16">
        <v>1</v>
      </c>
      <c r="H203" s="18">
        <v>56</v>
      </c>
    </row>
    <row r="204" spans="1:8" s="18" customFormat="1" x14ac:dyDescent="0.4">
      <c r="A204" s="16"/>
      <c r="B204" s="16"/>
      <c r="C204" s="16"/>
      <c r="D204" s="16"/>
      <c r="E204" s="17">
        <f>DATE(1984,3,25)</f>
        <v>30766</v>
      </c>
      <c r="F204" s="46" t="s">
        <v>51</v>
      </c>
      <c r="G204" s="16">
        <v>1</v>
      </c>
      <c r="H204" s="18">
        <v>56</v>
      </c>
    </row>
    <row r="205" spans="1:8" s="18" customFormat="1" x14ac:dyDescent="0.4">
      <c r="A205" s="16"/>
      <c r="B205" s="16"/>
      <c r="C205" s="16"/>
      <c r="D205" s="16"/>
      <c r="E205" s="17">
        <f>DATE(1984,3,30)</f>
        <v>30771</v>
      </c>
      <c r="F205" s="46" t="s">
        <v>51</v>
      </c>
      <c r="G205" s="16">
        <v>1</v>
      </c>
      <c r="H205" s="18">
        <v>56</v>
      </c>
    </row>
    <row r="206" spans="1:8" x14ac:dyDescent="0.4">
      <c r="A206" s="13">
        <v>34</v>
      </c>
      <c r="B206" s="13" t="s">
        <v>421</v>
      </c>
      <c r="E206" s="14" t="s">
        <v>425</v>
      </c>
      <c r="F206" s="19" t="s">
        <v>51</v>
      </c>
      <c r="G206" s="13">
        <v>1</v>
      </c>
      <c r="H206" s="15">
        <v>56</v>
      </c>
    </row>
    <row r="207" spans="1:8" x14ac:dyDescent="0.4">
      <c r="B207" s="13" t="s">
        <v>423</v>
      </c>
      <c r="E207" s="14">
        <f>DATE(1984,4,16)</f>
        <v>30788</v>
      </c>
      <c r="F207" s="19" t="s">
        <v>51</v>
      </c>
      <c r="G207" s="13">
        <v>1</v>
      </c>
      <c r="H207" s="15">
        <v>56</v>
      </c>
    </row>
    <row r="208" spans="1:8" x14ac:dyDescent="0.4">
      <c r="E208" s="14">
        <f>DATE(1984,4,21)</f>
        <v>30793</v>
      </c>
      <c r="F208" s="19" t="s">
        <v>51</v>
      </c>
      <c r="G208" s="13">
        <v>1</v>
      </c>
      <c r="H208" s="15">
        <v>56</v>
      </c>
    </row>
    <row r="209" spans="1:8" x14ac:dyDescent="0.4">
      <c r="E209" s="14">
        <f>DATE(1984,4,24)</f>
        <v>30796</v>
      </c>
      <c r="F209" s="19" t="s">
        <v>51</v>
      </c>
      <c r="G209" s="13">
        <v>2</v>
      </c>
      <c r="H209" s="15">
        <v>56</v>
      </c>
    </row>
    <row r="210" spans="1:8" x14ac:dyDescent="0.4">
      <c r="E210" s="14">
        <f>DATE(1984,4,25)</f>
        <v>30797</v>
      </c>
      <c r="F210" s="19" t="s">
        <v>51</v>
      </c>
      <c r="G210" s="13">
        <v>1</v>
      </c>
      <c r="H210" s="15">
        <v>56</v>
      </c>
    </row>
    <row r="211" spans="1:8" x14ac:dyDescent="0.4">
      <c r="E211" s="14">
        <f>DATE(1984,4,29)</f>
        <v>30801</v>
      </c>
      <c r="F211" s="19" t="s">
        <v>51</v>
      </c>
      <c r="G211" s="13">
        <v>1</v>
      </c>
      <c r="H211" s="15">
        <v>56</v>
      </c>
    </row>
    <row r="212" spans="1:8" x14ac:dyDescent="0.4">
      <c r="E212" s="14">
        <f>DATE(1984,4,30)</f>
        <v>30802</v>
      </c>
      <c r="F212" s="19" t="s">
        <v>51</v>
      </c>
      <c r="G212" s="13">
        <v>1</v>
      </c>
      <c r="H212" s="15">
        <v>56</v>
      </c>
    </row>
    <row r="213" spans="1:8" s="18" customFormat="1" x14ac:dyDescent="0.4">
      <c r="A213" s="16">
        <v>35</v>
      </c>
      <c r="B213" s="16" t="s">
        <v>421</v>
      </c>
      <c r="C213" s="16"/>
      <c r="D213" s="16"/>
      <c r="E213" s="17" t="s">
        <v>426</v>
      </c>
      <c r="F213" s="46" t="s">
        <v>51</v>
      </c>
      <c r="G213" s="16">
        <v>1</v>
      </c>
      <c r="H213" s="18">
        <v>56</v>
      </c>
    </row>
    <row r="214" spans="1:8" s="18" customFormat="1" x14ac:dyDescent="0.4">
      <c r="A214" s="16"/>
      <c r="B214" s="16" t="s">
        <v>423</v>
      </c>
      <c r="C214" s="16"/>
      <c r="D214" s="16"/>
      <c r="E214" s="17">
        <f>DATE(1984,5,3)</f>
        <v>30805</v>
      </c>
      <c r="F214" s="46" t="s">
        <v>51</v>
      </c>
      <c r="G214" s="16">
        <v>6</v>
      </c>
      <c r="H214" s="18">
        <v>56</v>
      </c>
    </row>
    <row r="215" spans="1:8" s="18" customFormat="1" x14ac:dyDescent="0.4">
      <c r="A215" s="16"/>
      <c r="B215" s="16"/>
      <c r="C215" s="16"/>
      <c r="D215" s="16"/>
      <c r="E215" s="17">
        <f>DATE(1984,5,9)</f>
        <v>30811</v>
      </c>
      <c r="F215" s="46" t="s">
        <v>51</v>
      </c>
      <c r="G215" s="16">
        <v>2</v>
      </c>
      <c r="H215" s="18">
        <v>56</v>
      </c>
    </row>
    <row r="216" spans="1:8" s="18" customFormat="1" x14ac:dyDescent="0.4">
      <c r="A216" s="16"/>
      <c r="B216" s="16"/>
      <c r="C216" s="16"/>
      <c r="D216" s="16"/>
      <c r="E216" s="17">
        <f>DATE(1984,5,17)</f>
        <v>30819</v>
      </c>
      <c r="F216" s="46" t="s">
        <v>51</v>
      </c>
      <c r="G216" s="16">
        <v>1</v>
      </c>
      <c r="H216" s="18">
        <v>56</v>
      </c>
    </row>
    <row r="217" spans="1:8" s="18" customFormat="1" x14ac:dyDescent="0.4">
      <c r="A217" s="16"/>
      <c r="B217" s="16"/>
      <c r="C217" s="16"/>
      <c r="D217" s="16"/>
      <c r="E217" s="17">
        <f>DATE(1984,5,19)</f>
        <v>30821</v>
      </c>
      <c r="F217" s="46" t="s">
        <v>51</v>
      </c>
      <c r="G217" s="16">
        <v>8</v>
      </c>
      <c r="H217" s="18">
        <v>56</v>
      </c>
    </row>
    <row r="218" spans="1:8" s="18" customFormat="1" x14ac:dyDescent="0.4">
      <c r="A218" s="16"/>
      <c r="B218" s="16"/>
      <c r="C218" s="16"/>
      <c r="D218" s="16"/>
      <c r="E218" s="17">
        <f>DATE(1984,5,20)</f>
        <v>30822</v>
      </c>
      <c r="F218" s="46" t="s">
        <v>51</v>
      </c>
      <c r="G218" s="16">
        <v>6</v>
      </c>
      <c r="H218" s="18">
        <v>56</v>
      </c>
    </row>
    <row r="219" spans="1:8" s="18" customFormat="1" x14ac:dyDescent="0.4">
      <c r="A219" s="16"/>
      <c r="B219" s="16"/>
      <c r="C219" s="16"/>
      <c r="D219" s="16"/>
      <c r="E219" s="17">
        <f>DATE(1984,5,21)</f>
        <v>30823</v>
      </c>
      <c r="F219" s="46" t="s">
        <v>51</v>
      </c>
      <c r="G219" s="16">
        <v>8</v>
      </c>
      <c r="H219" s="18">
        <v>56</v>
      </c>
    </row>
    <row r="220" spans="1:8" s="18" customFormat="1" x14ac:dyDescent="0.4">
      <c r="A220" s="16"/>
      <c r="B220" s="16"/>
      <c r="C220" s="16"/>
      <c r="D220" s="16"/>
      <c r="E220" s="17">
        <f>DATE(1984,5,23)</f>
        <v>30825</v>
      </c>
      <c r="F220" s="46" t="s">
        <v>51</v>
      </c>
      <c r="G220" s="16">
        <v>2</v>
      </c>
      <c r="H220" s="18">
        <v>56</v>
      </c>
    </row>
    <row r="221" spans="1:8" x14ac:dyDescent="0.4">
      <c r="A221" s="13">
        <v>36</v>
      </c>
      <c r="B221" s="13" t="s">
        <v>421</v>
      </c>
      <c r="E221" s="14" t="s">
        <v>427</v>
      </c>
      <c r="F221" s="19" t="s">
        <v>51</v>
      </c>
      <c r="G221" s="13">
        <v>1</v>
      </c>
      <c r="H221" s="15">
        <v>56</v>
      </c>
    </row>
    <row r="222" spans="1:8" x14ac:dyDescent="0.4">
      <c r="B222" s="13" t="s">
        <v>423</v>
      </c>
      <c r="E222" s="14">
        <f>DATE(1984,6,1)</f>
        <v>30834</v>
      </c>
      <c r="F222" s="19" t="s">
        <v>51</v>
      </c>
      <c r="G222" s="13">
        <v>1</v>
      </c>
      <c r="H222" s="15">
        <v>56</v>
      </c>
    </row>
    <row r="223" spans="1:8" x14ac:dyDescent="0.4">
      <c r="E223" s="14">
        <f>DATE(1984,6,4)</f>
        <v>30837</v>
      </c>
      <c r="F223" s="19" t="s">
        <v>51</v>
      </c>
      <c r="G223" s="13">
        <v>7</v>
      </c>
      <c r="H223" s="15">
        <v>56</v>
      </c>
    </row>
    <row r="224" spans="1:8" x14ac:dyDescent="0.4">
      <c r="E224" s="14">
        <f>DATE(1984,6,5)</f>
        <v>30838</v>
      </c>
      <c r="F224" s="19" t="s">
        <v>51</v>
      </c>
      <c r="G224" s="13">
        <v>29</v>
      </c>
      <c r="H224" s="15">
        <v>56</v>
      </c>
    </row>
    <row r="225" spans="1:8" x14ac:dyDescent="0.4">
      <c r="E225" s="14">
        <f>DATE(1984,6,6)</f>
        <v>30839</v>
      </c>
      <c r="F225" s="19" t="s">
        <v>51</v>
      </c>
      <c r="G225" s="13">
        <v>19</v>
      </c>
      <c r="H225" s="15">
        <v>56</v>
      </c>
    </row>
    <row r="226" spans="1:8" x14ac:dyDescent="0.4">
      <c r="E226" s="14">
        <f>DATE(1984,6,7)</f>
        <v>30840</v>
      </c>
      <c r="F226" s="19" t="s">
        <v>51</v>
      </c>
      <c r="G226" s="13">
        <v>12</v>
      </c>
      <c r="H226" s="15">
        <v>56</v>
      </c>
    </row>
    <row r="227" spans="1:8" x14ac:dyDescent="0.4">
      <c r="E227" s="14">
        <f>DATE(1984,6,13)</f>
        <v>30846</v>
      </c>
      <c r="F227" s="19" t="s">
        <v>51</v>
      </c>
      <c r="G227" s="13">
        <v>2</v>
      </c>
      <c r="H227" s="15">
        <v>56</v>
      </c>
    </row>
    <row r="228" spans="1:8" x14ac:dyDescent="0.4">
      <c r="E228" s="14">
        <f>DATE(1984,6,14)</f>
        <v>30847</v>
      </c>
      <c r="F228" s="19" t="s">
        <v>51</v>
      </c>
      <c r="G228" s="13">
        <v>2</v>
      </c>
      <c r="H228" s="15">
        <v>56</v>
      </c>
    </row>
    <row r="229" spans="1:8" x14ac:dyDescent="0.4">
      <c r="E229" s="14">
        <f>DATE(1984,6,23)</f>
        <v>30856</v>
      </c>
      <c r="F229" s="19" t="s">
        <v>51</v>
      </c>
      <c r="G229" s="13">
        <v>1</v>
      </c>
      <c r="H229" s="15">
        <v>56</v>
      </c>
    </row>
    <row r="230" spans="1:8" x14ac:dyDescent="0.4">
      <c r="E230" s="14">
        <f>DATE(1984,6,28)</f>
        <v>30861</v>
      </c>
      <c r="F230" s="19" t="s">
        <v>51</v>
      </c>
      <c r="G230" s="13">
        <v>2</v>
      </c>
      <c r="H230" s="15">
        <v>56</v>
      </c>
    </row>
    <row r="231" spans="1:8" s="18" customFormat="1" x14ac:dyDescent="0.4">
      <c r="A231" s="16">
        <v>37</v>
      </c>
      <c r="B231" s="16" t="s">
        <v>421</v>
      </c>
      <c r="C231" s="16"/>
      <c r="D231" s="16"/>
      <c r="E231" s="17" t="s">
        <v>428</v>
      </c>
      <c r="F231" s="46" t="s">
        <v>51</v>
      </c>
      <c r="G231" s="16">
        <v>1</v>
      </c>
      <c r="H231" s="18">
        <v>56</v>
      </c>
    </row>
    <row r="232" spans="1:8" s="18" customFormat="1" x14ac:dyDescent="0.4">
      <c r="A232" s="16"/>
      <c r="B232" s="16" t="s">
        <v>423</v>
      </c>
      <c r="C232" s="16"/>
      <c r="D232" s="16"/>
      <c r="E232" s="17">
        <f>DATE(1984,7,7)</f>
        <v>30870</v>
      </c>
      <c r="F232" s="46" t="s">
        <v>51</v>
      </c>
      <c r="G232" s="16">
        <v>4</v>
      </c>
      <c r="H232" s="18">
        <v>56</v>
      </c>
    </row>
    <row r="233" spans="1:8" s="18" customFormat="1" x14ac:dyDescent="0.4">
      <c r="A233" s="16"/>
      <c r="B233" s="16"/>
      <c r="C233" s="16"/>
      <c r="D233" s="16"/>
      <c r="E233" s="17">
        <f>DATE(1984,7,12)</f>
        <v>30875</v>
      </c>
      <c r="F233" s="46" t="s">
        <v>51</v>
      </c>
      <c r="G233" s="16">
        <v>2</v>
      </c>
      <c r="H233" s="18">
        <v>56</v>
      </c>
    </row>
    <row r="234" spans="1:8" s="18" customFormat="1" x14ac:dyDescent="0.4">
      <c r="A234" s="16"/>
      <c r="B234" s="16"/>
      <c r="C234" s="16"/>
      <c r="D234" s="16"/>
      <c r="E234" s="17">
        <f>DATE(1984,7,16)</f>
        <v>30879</v>
      </c>
      <c r="F234" s="46" t="s">
        <v>51</v>
      </c>
      <c r="G234" s="16">
        <v>2</v>
      </c>
      <c r="H234" s="18">
        <v>56</v>
      </c>
    </row>
    <row r="235" spans="1:8" s="18" customFormat="1" x14ac:dyDescent="0.4">
      <c r="A235" s="16"/>
      <c r="B235" s="16"/>
      <c r="C235" s="16"/>
      <c r="D235" s="16"/>
      <c r="E235" s="17">
        <f>DATE(1984,7,17)</f>
        <v>30880</v>
      </c>
      <c r="F235" s="46" t="s">
        <v>51</v>
      </c>
      <c r="G235" s="16">
        <v>1</v>
      </c>
      <c r="H235" s="18">
        <v>56</v>
      </c>
    </row>
    <row r="236" spans="1:8" s="18" customFormat="1" x14ac:dyDescent="0.4">
      <c r="A236" s="16"/>
      <c r="B236" s="16"/>
      <c r="C236" s="16"/>
      <c r="D236" s="16"/>
      <c r="E236" s="17">
        <f>DATE(1984,7,25)</f>
        <v>30888</v>
      </c>
      <c r="F236" s="46" t="s">
        <v>51</v>
      </c>
      <c r="G236" s="16">
        <v>2</v>
      </c>
      <c r="H236" s="18">
        <v>56</v>
      </c>
    </row>
    <row r="237" spans="1:8" s="18" customFormat="1" x14ac:dyDescent="0.4">
      <c r="A237" s="16"/>
      <c r="B237" s="16"/>
      <c r="C237" s="16"/>
      <c r="D237" s="16"/>
      <c r="E237" s="17">
        <f>DATE(1984,7,28)</f>
        <v>30891</v>
      </c>
      <c r="F237" s="46" t="s">
        <v>51</v>
      </c>
      <c r="G237" s="16">
        <v>2</v>
      </c>
      <c r="H237" s="18">
        <v>56</v>
      </c>
    </row>
    <row r="238" spans="1:8" s="18" customFormat="1" x14ac:dyDescent="0.4">
      <c r="A238" s="16"/>
      <c r="B238" s="16"/>
      <c r="C238" s="16"/>
      <c r="D238" s="16"/>
      <c r="E238" s="17">
        <f>DATE(1984,7,30)</f>
        <v>30893</v>
      </c>
      <c r="F238" s="46" t="s">
        <v>51</v>
      </c>
      <c r="G238" s="16">
        <v>2</v>
      </c>
      <c r="H238" s="18">
        <v>56</v>
      </c>
    </row>
    <row r="239" spans="1:8" x14ac:dyDescent="0.4">
      <c r="A239" s="13">
        <v>38</v>
      </c>
      <c r="B239" s="13" t="s">
        <v>421</v>
      </c>
      <c r="E239" s="14" t="s">
        <v>429</v>
      </c>
      <c r="F239" s="19" t="s">
        <v>51</v>
      </c>
      <c r="G239" s="13">
        <v>1</v>
      </c>
      <c r="H239" s="15">
        <v>56</v>
      </c>
    </row>
    <row r="240" spans="1:8" x14ac:dyDescent="0.4">
      <c r="B240" s="13" t="s">
        <v>423</v>
      </c>
      <c r="E240" s="14">
        <f>DATE(1984,8,6)</f>
        <v>30900</v>
      </c>
      <c r="F240" s="19" t="s">
        <v>51</v>
      </c>
      <c r="G240" s="13">
        <v>1</v>
      </c>
      <c r="H240" s="15">
        <v>56</v>
      </c>
    </row>
    <row r="241" spans="1:8" x14ac:dyDescent="0.4">
      <c r="E241" s="14">
        <f>DATE(1984,8,10)</f>
        <v>30904</v>
      </c>
      <c r="F241" s="19" t="s">
        <v>51</v>
      </c>
      <c r="G241" s="13">
        <v>1</v>
      </c>
      <c r="H241" s="15">
        <v>56</v>
      </c>
    </row>
    <row r="242" spans="1:8" x14ac:dyDescent="0.4">
      <c r="E242" s="14">
        <f>DATE(1984,8,18)</f>
        <v>30912</v>
      </c>
      <c r="F242" s="19" t="s">
        <v>51</v>
      </c>
      <c r="G242" s="13">
        <v>20</v>
      </c>
      <c r="H242" s="15">
        <v>56</v>
      </c>
    </row>
    <row r="243" spans="1:8" x14ac:dyDescent="0.4">
      <c r="E243" s="14">
        <f>DATE(1984,8,19)</f>
        <v>30913</v>
      </c>
      <c r="F243" s="19" t="s">
        <v>51</v>
      </c>
      <c r="G243" s="13">
        <v>9</v>
      </c>
      <c r="H243" s="15">
        <v>56</v>
      </c>
    </row>
    <row r="244" spans="1:8" x14ac:dyDescent="0.4">
      <c r="E244" s="14">
        <f>DATE(1984,8,20)</f>
        <v>30914</v>
      </c>
      <c r="F244" s="19" t="s">
        <v>51</v>
      </c>
      <c r="G244" s="13">
        <v>10</v>
      </c>
      <c r="H244" s="15">
        <v>56</v>
      </c>
    </row>
    <row r="245" spans="1:8" x14ac:dyDescent="0.4">
      <c r="E245" s="14">
        <f>DATE(1984,8,21)</f>
        <v>30915</v>
      </c>
      <c r="F245" s="19" t="s">
        <v>51</v>
      </c>
      <c r="G245" s="13">
        <v>29</v>
      </c>
      <c r="H245" s="15">
        <v>56</v>
      </c>
    </row>
    <row r="246" spans="1:8" x14ac:dyDescent="0.4">
      <c r="E246" s="14">
        <f>DATE(1984,8,23)</f>
        <v>30917</v>
      </c>
      <c r="F246" s="19" t="s">
        <v>51</v>
      </c>
      <c r="G246" s="13">
        <v>1</v>
      </c>
      <c r="H246" s="15">
        <v>56</v>
      </c>
    </row>
    <row r="247" spans="1:8" x14ac:dyDescent="0.4">
      <c r="E247" s="14">
        <f>DATE(1984,8,26)</f>
        <v>30920</v>
      </c>
      <c r="F247" s="19" t="s">
        <v>51</v>
      </c>
      <c r="G247" s="13">
        <v>12</v>
      </c>
      <c r="H247" s="15">
        <v>56</v>
      </c>
    </row>
    <row r="248" spans="1:8" x14ac:dyDescent="0.4">
      <c r="E248" s="14">
        <f>DATE(1984,8,27)</f>
        <v>30921</v>
      </c>
      <c r="F248" s="19" t="s">
        <v>51</v>
      </c>
      <c r="G248" s="13">
        <v>13</v>
      </c>
      <c r="H248" s="15">
        <v>56</v>
      </c>
    </row>
    <row r="249" spans="1:8" x14ac:dyDescent="0.4">
      <c r="E249" s="14">
        <f>DATE(1984,8,28)</f>
        <v>30922</v>
      </c>
      <c r="F249" s="19" t="s">
        <v>51</v>
      </c>
      <c r="G249" s="13">
        <v>2</v>
      </c>
      <c r="H249" s="15">
        <v>56</v>
      </c>
    </row>
    <row r="250" spans="1:8" s="18" customFormat="1" x14ac:dyDescent="0.4">
      <c r="A250" s="16">
        <v>39</v>
      </c>
      <c r="B250" s="16" t="s">
        <v>421</v>
      </c>
      <c r="C250" s="16"/>
      <c r="D250" s="16"/>
      <c r="E250" s="17" t="s">
        <v>430</v>
      </c>
      <c r="F250" s="46" t="s">
        <v>51</v>
      </c>
      <c r="G250" s="16">
        <v>1</v>
      </c>
      <c r="H250" s="18">
        <v>56</v>
      </c>
    </row>
    <row r="251" spans="1:8" s="18" customFormat="1" x14ac:dyDescent="0.4">
      <c r="A251" s="16"/>
      <c r="B251" s="16" t="s">
        <v>423</v>
      </c>
      <c r="C251" s="16"/>
      <c r="D251" s="16"/>
      <c r="E251" s="17">
        <f>DATE(1984,9,6)</f>
        <v>30931</v>
      </c>
      <c r="F251" s="46" t="s">
        <v>51</v>
      </c>
      <c r="G251" s="16">
        <v>1</v>
      </c>
      <c r="H251" s="18">
        <v>56</v>
      </c>
    </row>
    <row r="252" spans="1:8" s="18" customFormat="1" x14ac:dyDescent="0.4">
      <c r="A252" s="16"/>
      <c r="B252" s="16"/>
      <c r="C252" s="16"/>
      <c r="D252" s="16"/>
      <c r="E252" s="17">
        <f>DATE(1984,9,25)</f>
        <v>30950</v>
      </c>
      <c r="F252" s="46" t="s">
        <v>51</v>
      </c>
      <c r="G252" s="16">
        <v>3</v>
      </c>
      <c r="H252" s="18">
        <v>56</v>
      </c>
    </row>
    <row r="253" spans="1:8" s="18" customFormat="1" x14ac:dyDescent="0.4">
      <c r="A253" s="16"/>
      <c r="B253" s="16"/>
      <c r="C253" s="16"/>
      <c r="D253" s="16"/>
      <c r="E253" s="17">
        <f>DATE(1984,9,27)</f>
        <v>30952</v>
      </c>
      <c r="F253" s="46" t="s">
        <v>51</v>
      </c>
      <c r="G253" s="16">
        <v>2</v>
      </c>
      <c r="H253" s="18">
        <v>56</v>
      </c>
    </row>
    <row r="254" spans="1:8" x14ac:dyDescent="0.4">
      <c r="A254" s="13">
        <v>40</v>
      </c>
      <c r="B254" s="13" t="s">
        <v>421</v>
      </c>
      <c r="E254" s="14" t="s">
        <v>431</v>
      </c>
      <c r="F254" s="19" t="s">
        <v>51</v>
      </c>
      <c r="G254" s="13">
        <v>1</v>
      </c>
      <c r="H254" s="15">
        <v>56</v>
      </c>
    </row>
    <row r="255" spans="1:8" x14ac:dyDescent="0.4">
      <c r="B255" s="13" t="s">
        <v>423</v>
      </c>
      <c r="E255" s="14">
        <f>DATE(1984,10,3)</f>
        <v>30958</v>
      </c>
      <c r="F255" s="19" t="s">
        <v>51</v>
      </c>
      <c r="G255" s="13">
        <v>2</v>
      </c>
      <c r="H255" s="15">
        <v>56</v>
      </c>
    </row>
    <row r="256" spans="1:8" x14ac:dyDescent="0.4">
      <c r="E256" s="14">
        <f>DATE(1984,10,19)</f>
        <v>30974</v>
      </c>
      <c r="F256" s="19" t="s">
        <v>51</v>
      </c>
      <c r="G256" s="13">
        <v>1</v>
      </c>
      <c r="H256" s="15">
        <v>56</v>
      </c>
    </row>
    <row r="257" spans="1:8" x14ac:dyDescent="0.4">
      <c r="E257" s="14">
        <f>DATE(1984,10,21)</f>
        <v>30976</v>
      </c>
      <c r="F257" s="19" t="s">
        <v>51</v>
      </c>
      <c r="G257" s="13">
        <v>5</v>
      </c>
      <c r="H257" s="15">
        <v>56</v>
      </c>
    </row>
    <row r="258" spans="1:8" x14ac:dyDescent="0.4">
      <c r="E258" s="14">
        <f>DATE(1984,10,22)</f>
        <v>30977</v>
      </c>
      <c r="F258" s="19" t="s">
        <v>51</v>
      </c>
      <c r="G258" s="13">
        <v>4</v>
      </c>
      <c r="H258" s="15">
        <v>56</v>
      </c>
    </row>
    <row r="259" spans="1:8" x14ac:dyDescent="0.4">
      <c r="E259" s="14">
        <f>DATE(1984,10,23)</f>
        <v>30978</v>
      </c>
      <c r="F259" s="19" t="s">
        <v>51</v>
      </c>
      <c r="G259" s="13">
        <v>2</v>
      </c>
      <c r="H259" s="15">
        <v>56</v>
      </c>
    </row>
    <row r="260" spans="1:8" s="18" customFormat="1" x14ac:dyDescent="0.4">
      <c r="A260" s="16">
        <v>41</v>
      </c>
      <c r="B260" s="16" t="s">
        <v>421</v>
      </c>
      <c r="C260" s="16"/>
      <c r="D260" s="16"/>
      <c r="E260" s="17" t="s">
        <v>432</v>
      </c>
      <c r="F260" s="46" t="s">
        <v>51</v>
      </c>
      <c r="G260" s="16">
        <v>1</v>
      </c>
      <c r="H260" s="18">
        <v>56</v>
      </c>
    </row>
    <row r="261" spans="1:8" s="18" customFormat="1" x14ac:dyDescent="0.4">
      <c r="A261" s="16"/>
      <c r="B261" s="16" t="s">
        <v>423</v>
      </c>
      <c r="C261" s="16"/>
      <c r="D261" s="16"/>
      <c r="E261" s="17">
        <f>DATE(1984,11,7)</f>
        <v>30993</v>
      </c>
      <c r="F261" s="46" t="s">
        <v>51</v>
      </c>
      <c r="G261" s="16">
        <v>1</v>
      </c>
      <c r="H261" s="18">
        <v>56</v>
      </c>
    </row>
    <row r="262" spans="1:8" s="18" customFormat="1" x14ac:dyDescent="0.4">
      <c r="A262" s="16"/>
      <c r="B262" s="16"/>
      <c r="C262" s="16"/>
      <c r="D262" s="16"/>
      <c r="E262" s="17">
        <f>DATE(1984,11,8)</f>
        <v>30994</v>
      </c>
      <c r="F262" s="46" t="s">
        <v>51</v>
      </c>
      <c r="G262" s="16">
        <v>2</v>
      </c>
      <c r="H262" s="18">
        <v>56</v>
      </c>
    </row>
    <row r="263" spans="1:8" s="18" customFormat="1" x14ac:dyDescent="0.4">
      <c r="A263" s="16"/>
      <c r="B263" s="16"/>
      <c r="C263" s="16"/>
      <c r="D263" s="16"/>
      <c r="E263" s="17">
        <f>DATE(1984,11,9)</f>
        <v>30995</v>
      </c>
      <c r="F263" s="46" t="s">
        <v>51</v>
      </c>
      <c r="G263" s="16">
        <v>1</v>
      </c>
      <c r="H263" s="18">
        <v>56</v>
      </c>
    </row>
    <row r="264" spans="1:8" s="18" customFormat="1" x14ac:dyDescent="0.4">
      <c r="A264" s="16"/>
      <c r="B264" s="16"/>
      <c r="C264" s="16"/>
      <c r="D264" s="16"/>
      <c r="E264" s="17">
        <f>DATE(1984,11,10)</f>
        <v>30996</v>
      </c>
      <c r="F264" s="46" t="s">
        <v>51</v>
      </c>
      <c r="G264" s="16">
        <v>1</v>
      </c>
      <c r="H264" s="18">
        <v>56</v>
      </c>
    </row>
    <row r="265" spans="1:8" s="18" customFormat="1" x14ac:dyDescent="0.4">
      <c r="A265" s="16"/>
      <c r="B265" s="16"/>
      <c r="C265" s="16"/>
      <c r="D265" s="16"/>
      <c r="E265" s="17">
        <f>DATE(1984,11,11)</f>
        <v>30997</v>
      </c>
      <c r="F265" s="46" t="s">
        <v>51</v>
      </c>
      <c r="G265" s="16">
        <v>3</v>
      </c>
      <c r="H265" s="18">
        <v>56</v>
      </c>
    </row>
    <row r="266" spans="1:8" s="18" customFormat="1" x14ac:dyDescent="0.4">
      <c r="A266" s="16"/>
      <c r="B266" s="16"/>
      <c r="C266" s="16"/>
      <c r="D266" s="16"/>
      <c r="E266" s="17">
        <f>DATE(1984,11,12)</f>
        <v>30998</v>
      </c>
      <c r="F266" s="46" t="s">
        <v>51</v>
      </c>
      <c r="G266" s="16">
        <v>1</v>
      </c>
      <c r="H266" s="18">
        <v>56</v>
      </c>
    </row>
    <row r="267" spans="1:8" s="18" customFormat="1" x14ac:dyDescent="0.4">
      <c r="A267" s="16"/>
      <c r="B267" s="16"/>
      <c r="C267" s="16"/>
      <c r="D267" s="16"/>
      <c r="E267" s="17">
        <f>DATE(1984,11,13)</f>
        <v>30999</v>
      </c>
      <c r="F267" s="46" t="s">
        <v>51</v>
      </c>
      <c r="G267" s="16">
        <v>1</v>
      </c>
      <c r="H267" s="18">
        <v>56</v>
      </c>
    </row>
    <row r="268" spans="1:8" s="18" customFormat="1" x14ac:dyDescent="0.4">
      <c r="A268" s="16"/>
      <c r="B268" s="16"/>
      <c r="C268" s="16"/>
      <c r="D268" s="16"/>
      <c r="E268" s="17">
        <f>DATE(1984,11,14)</f>
        <v>31000</v>
      </c>
      <c r="F268" s="46" t="s">
        <v>51</v>
      </c>
      <c r="G268" s="16">
        <v>2</v>
      </c>
      <c r="H268" s="18">
        <v>56</v>
      </c>
    </row>
    <row r="269" spans="1:8" s="18" customFormat="1" x14ac:dyDescent="0.4">
      <c r="A269" s="16"/>
      <c r="B269" s="16"/>
      <c r="C269" s="16"/>
      <c r="D269" s="16"/>
      <c r="E269" s="17">
        <f>DATE(1984,11,15)</f>
        <v>31001</v>
      </c>
      <c r="F269" s="46" t="s">
        <v>51</v>
      </c>
      <c r="G269" s="16">
        <v>2</v>
      </c>
      <c r="H269" s="18">
        <v>56</v>
      </c>
    </row>
    <row r="270" spans="1:8" s="18" customFormat="1" x14ac:dyDescent="0.4">
      <c r="A270" s="16"/>
      <c r="B270" s="16"/>
      <c r="C270" s="16"/>
      <c r="D270" s="16"/>
      <c r="E270" s="17">
        <f>DATE(1984,11,17)</f>
        <v>31003</v>
      </c>
      <c r="F270" s="46" t="s">
        <v>51</v>
      </c>
      <c r="G270" s="16">
        <v>3</v>
      </c>
      <c r="H270" s="18">
        <v>56</v>
      </c>
    </row>
    <row r="271" spans="1:8" s="18" customFormat="1" x14ac:dyDescent="0.4">
      <c r="A271" s="16"/>
      <c r="B271" s="16"/>
      <c r="C271" s="16"/>
      <c r="D271" s="16"/>
      <c r="E271" s="17">
        <f>DATE(1984,11,22)</f>
        <v>31008</v>
      </c>
      <c r="F271" s="46" t="s">
        <v>51</v>
      </c>
      <c r="G271" s="16">
        <v>2</v>
      </c>
      <c r="H271" s="18">
        <v>56</v>
      </c>
    </row>
    <row r="272" spans="1:8" s="18" customFormat="1" x14ac:dyDescent="0.4">
      <c r="A272" s="16"/>
      <c r="B272" s="16"/>
      <c r="C272" s="16"/>
      <c r="D272" s="16"/>
      <c r="E272" s="17">
        <f>DATE(1984,11,23)</f>
        <v>31009</v>
      </c>
      <c r="F272" s="46" t="s">
        <v>51</v>
      </c>
      <c r="G272" s="16">
        <v>1</v>
      </c>
      <c r="H272" s="18">
        <v>56</v>
      </c>
    </row>
    <row r="273" spans="1:8" s="18" customFormat="1" x14ac:dyDescent="0.4">
      <c r="A273" s="16"/>
      <c r="B273" s="16"/>
      <c r="C273" s="16"/>
      <c r="D273" s="16"/>
      <c r="E273" s="17">
        <f>DATE(1984,11,24)</f>
        <v>31010</v>
      </c>
      <c r="F273" s="46" t="s">
        <v>51</v>
      </c>
      <c r="G273" s="16">
        <v>1</v>
      </c>
      <c r="H273" s="18">
        <v>56</v>
      </c>
    </row>
    <row r="274" spans="1:8" s="18" customFormat="1" x14ac:dyDescent="0.4">
      <c r="A274" s="16"/>
      <c r="B274" s="16"/>
      <c r="C274" s="16"/>
      <c r="D274" s="16"/>
      <c r="E274" s="17">
        <f>DATE(1984,11,25)</f>
        <v>31011</v>
      </c>
      <c r="F274" s="46" t="s">
        <v>51</v>
      </c>
      <c r="G274" s="16">
        <v>1</v>
      </c>
      <c r="H274" s="18">
        <v>56</v>
      </c>
    </row>
    <row r="275" spans="1:8" s="18" customFormat="1" x14ac:dyDescent="0.4">
      <c r="A275" s="16"/>
      <c r="B275" s="16"/>
      <c r="C275" s="16"/>
      <c r="D275" s="16"/>
      <c r="E275" s="17">
        <f>DATE(1984,11,26)</f>
        <v>31012</v>
      </c>
      <c r="F275" s="46" t="s">
        <v>51</v>
      </c>
      <c r="G275" s="16">
        <v>1</v>
      </c>
      <c r="H275" s="18">
        <v>56</v>
      </c>
    </row>
    <row r="276" spans="1:8" s="18" customFormat="1" x14ac:dyDescent="0.4">
      <c r="A276" s="16"/>
      <c r="B276" s="16"/>
      <c r="C276" s="16"/>
      <c r="D276" s="16"/>
      <c r="E276" s="17">
        <f>DATE(1984,11,27)</f>
        <v>31013</v>
      </c>
      <c r="F276" s="46" t="s">
        <v>51</v>
      </c>
      <c r="G276" s="16">
        <v>1</v>
      </c>
      <c r="H276" s="18">
        <v>56</v>
      </c>
    </row>
    <row r="277" spans="1:8" s="18" customFormat="1" x14ac:dyDescent="0.4">
      <c r="A277" s="16"/>
      <c r="B277" s="16"/>
      <c r="C277" s="16"/>
      <c r="D277" s="16"/>
      <c r="E277" s="17">
        <f>DATE(1984,11,28)</f>
        <v>31014</v>
      </c>
      <c r="F277" s="46" t="s">
        <v>51</v>
      </c>
      <c r="G277" s="16">
        <v>1</v>
      </c>
      <c r="H277" s="18">
        <v>56</v>
      </c>
    </row>
    <row r="278" spans="1:8" s="18" customFormat="1" x14ac:dyDescent="0.4">
      <c r="A278" s="16"/>
      <c r="B278" s="16"/>
      <c r="C278" s="16"/>
      <c r="D278" s="16"/>
      <c r="E278" s="17">
        <f>DATE(1984,11,29)</f>
        <v>31015</v>
      </c>
      <c r="F278" s="46" t="s">
        <v>51</v>
      </c>
      <c r="G278" s="16">
        <v>1</v>
      </c>
      <c r="H278" s="18">
        <v>56</v>
      </c>
    </row>
    <row r="279" spans="1:8" s="18" customFormat="1" x14ac:dyDescent="0.4">
      <c r="A279" s="16"/>
      <c r="B279" s="16"/>
      <c r="C279" s="16"/>
      <c r="D279" s="16"/>
      <c r="E279" s="17">
        <f>DATE(1984,11,30)</f>
        <v>31016</v>
      </c>
      <c r="F279" s="46" t="s">
        <v>51</v>
      </c>
      <c r="G279" s="16">
        <v>1</v>
      </c>
      <c r="H279" s="18">
        <v>56</v>
      </c>
    </row>
    <row r="280" spans="1:8" x14ac:dyDescent="0.4">
      <c r="A280" s="13">
        <v>42</v>
      </c>
      <c r="B280" s="13" t="s">
        <v>421</v>
      </c>
      <c r="E280" s="14" t="s">
        <v>433</v>
      </c>
      <c r="F280" s="19" t="s">
        <v>51</v>
      </c>
      <c r="G280" s="13">
        <v>1</v>
      </c>
      <c r="H280" s="15">
        <v>56</v>
      </c>
    </row>
    <row r="281" spans="1:8" x14ac:dyDescent="0.4">
      <c r="B281" s="13" t="s">
        <v>423</v>
      </c>
      <c r="E281" s="14">
        <f>DATE(1984,12,1)</f>
        <v>31017</v>
      </c>
      <c r="F281" s="19" t="s">
        <v>51</v>
      </c>
      <c r="G281" s="13">
        <v>1</v>
      </c>
      <c r="H281" s="15">
        <v>56</v>
      </c>
    </row>
    <row r="282" spans="1:8" x14ac:dyDescent="0.4">
      <c r="E282" s="14">
        <f>DATE(1984,12,2)</f>
        <v>31018</v>
      </c>
      <c r="F282" s="19" t="s">
        <v>51</v>
      </c>
      <c r="G282" s="13">
        <v>8</v>
      </c>
      <c r="H282" s="15">
        <v>56</v>
      </c>
    </row>
    <row r="283" spans="1:8" x14ac:dyDescent="0.4">
      <c r="E283" s="14">
        <f>DATE(1984,12,3)</f>
        <v>31019</v>
      </c>
      <c r="F283" s="19" t="s">
        <v>51</v>
      </c>
      <c r="G283" s="13">
        <v>2</v>
      </c>
      <c r="H283" s="15">
        <v>56</v>
      </c>
    </row>
    <row r="284" spans="1:8" s="18" customFormat="1" x14ac:dyDescent="0.4">
      <c r="A284" s="16">
        <v>43</v>
      </c>
      <c r="B284" s="16" t="s">
        <v>421</v>
      </c>
      <c r="C284" s="16"/>
      <c r="D284" s="16"/>
      <c r="E284" s="17" t="s">
        <v>434</v>
      </c>
      <c r="F284" s="46" t="s">
        <v>51</v>
      </c>
      <c r="G284" s="16">
        <v>1</v>
      </c>
      <c r="H284" s="18">
        <v>56</v>
      </c>
    </row>
    <row r="285" spans="1:8" s="18" customFormat="1" x14ac:dyDescent="0.4">
      <c r="A285" s="16"/>
      <c r="B285" s="16" t="s">
        <v>423</v>
      </c>
      <c r="C285" s="16"/>
      <c r="D285" s="16"/>
      <c r="E285" s="17">
        <f>DATE(1985,1,1)</f>
        <v>31048</v>
      </c>
      <c r="F285" s="46" t="s">
        <v>51</v>
      </c>
      <c r="G285" s="16">
        <v>1</v>
      </c>
      <c r="H285" s="18">
        <v>56</v>
      </c>
    </row>
    <row r="286" spans="1:8" x14ac:dyDescent="0.4">
      <c r="A286" s="13">
        <v>44</v>
      </c>
      <c r="B286" s="13" t="s">
        <v>421</v>
      </c>
      <c r="E286" s="14" t="s">
        <v>435</v>
      </c>
      <c r="F286" s="19" t="s">
        <v>51</v>
      </c>
      <c r="G286" s="13">
        <v>1</v>
      </c>
      <c r="H286" s="15">
        <v>56</v>
      </c>
    </row>
    <row r="287" spans="1:8" x14ac:dyDescent="0.4">
      <c r="B287" s="13" t="s">
        <v>423</v>
      </c>
      <c r="E287" s="14">
        <f>DATE(1985,2,2)</f>
        <v>31080</v>
      </c>
      <c r="F287" s="19" t="s">
        <v>51</v>
      </c>
      <c r="G287" s="13">
        <v>3</v>
      </c>
      <c r="H287" s="15">
        <v>56</v>
      </c>
    </row>
    <row r="288" spans="1:8" x14ac:dyDescent="0.4">
      <c r="E288" s="14">
        <f>DATE(1985,2,5)</f>
        <v>31083</v>
      </c>
      <c r="F288" s="19" t="s">
        <v>51</v>
      </c>
      <c r="G288" s="13">
        <v>1</v>
      </c>
      <c r="H288" s="15">
        <v>56</v>
      </c>
    </row>
    <row r="289" spans="1:8" x14ac:dyDescent="0.4">
      <c r="E289" s="14">
        <f>DATE(1985,2,6)</f>
        <v>31084</v>
      </c>
      <c r="F289" s="19" t="s">
        <v>51</v>
      </c>
      <c r="G289" s="13">
        <v>1</v>
      </c>
      <c r="H289" s="15">
        <v>56</v>
      </c>
    </row>
    <row r="290" spans="1:8" x14ac:dyDescent="0.4">
      <c r="E290" s="14">
        <f>DATE(1985,2,7)</f>
        <v>31085</v>
      </c>
      <c r="F290" s="19" t="s">
        <v>51</v>
      </c>
      <c r="G290" s="13">
        <v>2</v>
      </c>
      <c r="H290" s="15">
        <v>56</v>
      </c>
    </row>
    <row r="291" spans="1:8" x14ac:dyDescent="0.4">
      <c r="E291" s="14">
        <f>DATE(1985,2,13)</f>
        <v>31091</v>
      </c>
      <c r="F291" s="19" t="s">
        <v>51</v>
      </c>
      <c r="G291" s="13">
        <v>2</v>
      </c>
      <c r="H291" s="15">
        <v>56</v>
      </c>
    </row>
    <row r="292" spans="1:8" x14ac:dyDescent="0.4">
      <c r="E292" s="14">
        <f>DATE(1985,2,14)</f>
        <v>31092</v>
      </c>
      <c r="F292" s="19" t="s">
        <v>51</v>
      </c>
      <c r="G292" s="13">
        <v>1</v>
      </c>
      <c r="H292" s="15">
        <v>56</v>
      </c>
    </row>
    <row r="293" spans="1:8" s="18" customFormat="1" x14ac:dyDescent="0.4">
      <c r="A293" s="16">
        <v>45</v>
      </c>
      <c r="B293" s="16" t="s">
        <v>421</v>
      </c>
      <c r="C293" s="16"/>
      <c r="D293" s="16"/>
      <c r="E293" s="17" t="s">
        <v>436</v>
      </c>
      <c r="F293" s="46" t="s">
        <v>51</v>
      </c>
      <c r="G293" s="16">
        <v>1</v>
      </c>
      <c r="H293" s="18">
        <v>56</v>
      </c>
    </row>
    <row r="294" spans="1:8" s="18" customFormat="1" x14ac:dyDescent="0.4">
      <c r="A294" s="16"/>
      <c r="B294" s="16" t="s">
        <v>423</v>
      </c>
      <c r="C294" s="16"/>
      <c r="D294" s="16"/>
      <c r="E294" s="17">
        <f>DATE(1985,3,16)</f>
        <v>31122</v>
      </c>
      <c r="F294" s="46" t="s">
        <v>51</v>
      </c>
      <c r="G294" s="16">
        <v>1</v>
      </c>
      <c r="H294" s="18">
        <v>56</v>
      </c>
    </row>
    <row r="295" spans="1:8" s="18" customFormat="1" x14ac:dyDescent="0.4">
      <c r="A295" s="16"/>
      <c r="B295" s="16"/>
      <c r="C295" s="16"/>
      <c r="D295" s="16"/>
      <c r="E295" s="17">
        <f>DATE(1985,3,17)</f>
        <v>31123</v>
      </c>
      <c r="F295" s="46" t="s">
        <v>51</v>
      </c>
      <c r="G295" s="16">
        <v>1</v>
      </c>
      <c r="H295" s="18">
        <v>56</v>
      </c>
    </row>
    <row r="296" spans="1:8" s="18" customFormat="1" x14ac:dyDescent="0.4">
      <c r="A296" s="16"/>
      <c r="B296" s="16"/>
      <c r="C296" s="16"/>
      <c r="D296" s="16"/>
      <c r="E296" s="17">
        <f>DATE(1985,3,25)</f>
        <v>31131</v>
      </c>
      <c r="F296" s="46" t="s">
        <v>51</v>
      </c>
      <c r="G296" s="16">
        <v>1</v>
      </c>
      <c r="H296" s="18">
        <v>56</v>
      </c>
    </row>
    <row r="297" spans="1:8" s="18" customFormat="1" x14ac:dyDescent="0.4">
      <c r="A297" s="16"/>
      <c r="B297" s="16"/>
      <c r="C297" s="16"/>
      <c r="D297" s="16"/>
      <c r="E297" s="17">
        <f>DATE(1985,3,29)</f>
        <v>31135</v>
      </c>
      <c r="F297" s="46" t="s">
        <v>51</v>
      </c>
      <c r="G297" s="16">
        <v>1</v>
      </c>
      <c r="H297" s="18">
        <v>56</v>
      </c>
    </row>
    <row r="298" spans="1:8" s="18" customFormat="1" x14ac:dyDescent="0.4">
      <c r="A298" s="16"/>
      <c r="B298" s="16"/>
      <c r="C298" s="16"/>
      <c r="D298" s="16"/>
      <c r="E298" s="17">
        <f>DATE(1985,3,31)</f>
        <v>31137</v>
      </c>
      <c r="F298" s="46" t="s">
        <v>51</v>
      </c>
      <c r="G298" s="16">
        <v>1</v>
      </c>
      <c r="H298" s="18">
        <v>56</v>
      </c>
    </row>
    <row r="299" spans="1:8" x14ac:dyDescent="0.4">
      <c r="A299" s="13">
        <v>46</v>
      </c>
      <c r="B299" s="13" t="s">
        <v>421</v>
      </c>
      <c r="E299" s="14" t="s">
        <v>437</v>
      </c>
      <c r="F299" s="19" t="s">
        <v>51</v>
      </c>
      <c r="G299" s="13">
        <v>1</v>
      </c>
      <c r="H299" s="15">
        <v>56</v>
      </c>
    </row>
    <row r="300" spans="1:8" x14ac:dyDescent="0.4">
      <c r="B300" s="13" t="s">
        <v>423</v>
      </c>
      <c r="E300" s="14">
        <f>DATE(1985,4,1)</f>
        <v>31138</v>
      </c>
      <c r="F300" s="19" t="s">
        <v>51</v>
      </c>
      <c r="G300" s="13">
        <v>1</v>
      </c>
      <c r="H300" s="15">
        <v>56</v>
      </c>
    </row>
    <row r="301" spans="1:8" s="18" customFormat="1" x14ac:dyDescent="0.4">
      <c r="A301" s="16">
        <v>47</v>
      </c>
      <c r="B301" s="16" t="s">
        <v>421</v>
      </c>
      <c r="C301" s="16"/>
      <c r="D301" s="16"/>
      <c r="E301" s="17" t="s">
        <v>438</v>
      </c>
      <c r="F301" s="46" t="s">
        <v>51</v>
      </c>
      <c r="G301" s="16">
        <v>1</v>
      </c>
      <c r="H301" s="18">
        <v>56</v>
      </c>
    </row>
    <row r="302" spans="1:8" s="18" customFormat="1" x14ac:dyDescent="0.4">
      <c r="A302" s="16"/>
      <c r="B302" s="16" t="s">
        <v>423</v>
      </c>
      <c r="C302" s="16"/>
      <c r="D302" s="16"/>
      <c r="E302" s="17">
        <f>DATE(1985,5,3)</f>
        <v>31170</v>
      </c>
      <c r="F302" s="46" t="s">
        <v>51</v>
      </c>
      <c r="G302" s="16">
        <v>2</v>
      </c>
      <c r="H302" s="18">
        <v>56</v>
      </c>
    </row>
    <row r="303" spans="1:8" s="18" customFormat="1" x14ac:dyDescent="0.4">
      <c r="A303" s="16"/>
      <c r="B303" s="16"/>
      <c r="C303" s="16"/>
      <c r="D303" s="16"/>
      <c r="E303" s="17">
        <f>DATE(1985,5,7)</f>
        <v>31174</v>
      </c>
      <c r="F303" s="46" t="s">
        <v>51</v>
      </c>
      <c r="G303" s="16">
        <v>2</v>
      </c>
      <c r="H303" s="18">
        <v>56</v>
      </c>
    </row>
    <row r="304" spans="1:8" s="18" customFormat="1" x14ac:dyDescent="0.4">
      <c r="A304" s="16"/>
      <c r="B304" s="16"/>
      <c r="C304" s="16"/>
      <c r="D304" s="16"/>
      <c r="E304" s="17">
        <f>DATE(1985,5,14)</f>
        <v>31181</v>
      </c>
      <c r="F304" s="46" t="s">
        <v>51</v>
      </c>
      <c r="G304" s="16">
        <v>1</v>
      </c>
      <c r="H304" s="18">
        <v>56</v>
      </c>
    </row>
    <row r="305" spans="1:8" s="18" customFormat="1" x14ac:dyDescent="0.4">
      <c r="A305" s="16"/>
      <c r="B305" s="16"/>
      <c r="C305" s="16"/>
      <c r="D305" s="16"/>
      <c r="E305" s="17">
        <f>DATE(1985,5,19)</f>
        <v>31186</v>
      </c>
      <c r="F305" s="46" t="s">
        <v>51</v>
      </c>
      <c r="G305" s="16">
        <v>4</v>
      </c>
      <c r="H305" s="18">
        <v>56</v>
      </c>
    </row>
    <row r="306" spans="1:8" s="18" customFormat="1" x14ac:dyDescent="0.4">
      <c r="A306" s="16"/>
      <c r="B306" s="16"/>
      <c r="C306" s="16"/>
      <c r="D306" s="16"/>
      <c r="E306" s="17">
        <f>DATE(1985,5,20)</f>
        <v>31187</v>
      </c>
      <c r="F306" s="46" t="s">
        <v>51</v>
      </c>
      <c r="G306" s="16">
        <v>2</v>
      </c>
      <c r="H306" s="18">
        <v>56</v>
      </c>
    </row>
    <row r="307" spans="1:8" x14ac:dyDescent="0.4">
      <c r="A307" s="15">
        <v>48</v>
      </c>
      <c r="B307" s="13" t="s">
        <v>421</v>
      </c>
      <c r="C307" s="15"/>
      <c r="D307" s="15"/>
      <c r="E307" s="29" t="s">
        <v>439</v>
      </c>
      <c r="F307" s="19" t="s">
        <v>51</v>
      </c>
      <c r="G307" s="15">
        <v>1</v>
      </c>
      <c r="H307" s="15">
        <v>56</v>
      </c>
    </row>
    <row r="308" spans="1:8" x14ac:dyDescent="0.4">
      <c r="B308" s="13" t="s">
        <v>423</v>
      </c>
      <c r="E308" s="14">
        <f>DATE(1985,6,12)</f>
        <v>31210</v>
      </c>
      <c r="F308" s="19" t="s">
        <v>51</v>
      </c>
      <c r="G308" s="13">
        <v>2</v>
      </c>
      <c r="H308" s="15">
        <v>56</v>
      </c>
    </row>
    <row r="309" spans="1:8" x14ac:dyDescent="0.4">
      <c r="E309" s="14">
        <f>DATE(1985,6,14)</f>
        <v>31212</v>
      </c>
      <c r="F309" s="19" t="s">
        <v>51</v>
      </c>
      <c r="G309" s="13">
        <v>1</v>
      </c>
      <c r="H309" s="15">
        <v>56</v>
      </c>
    </row>
    <row r="310" spans="1:8" x14ac:dyDescent="0.4">
      <c r="E310" s="14">
        <f>DATE(1985,6,25)</f>
        <v>31223</v>
      </c>
      <c r="F310" s="19" t="s">
        <v>51</v>
      </c>
      <c r="G310" s="13">
        <v>12</v>
      </c>
      <c r="H310" s="15">
        <v>56</v>
      </c>
    </row>
    <row r="311" spans="1:8" s="18" customFormat="1" x14ac:dyDescent="0.4">
      <c r="A311" s="16">
        <v>49</v>
      </c>
      <c r="B311" s="16" t="s">
        <v>421</v>
      </c>
      <c r="C311" s="16"/>
      <c r="D311" s="16"/>
      <c r="E311" s="17" t="s">
        <v>440</v>
      </c>
      <c r="F311" s="46" t="s">
        <v>51</v>
      </c>
      <c r="G311" s="16">
        <v>1</v>
      </c>
      <c r="H311" s="18">
        <v>56</v>
      </c>
    </row>
    <row r="312" spans="1:8" s="18" customFormat="1" x14ac:dyDescent="0.4">
      <c r="A312" s="16"/>
      <c r="B312" s="16" t="s">
        <v>423</v>
      </c>
      <c r="C312" s="16"/>
      <c r="D312" s="16"/>
      <c r="E312" s="17">
        <f>DATE(1985,7,6)</f>
        <v>31234</v>
      </c>
      <c r="F312" s="46" t="s">
        <v>51</v>
      </c>
      <c r="G312" s="16">
        <v>1</v>
      </c>
      <c r="H312" s="18">
        <v>56</v>
      </c>
    </row>
    <row r="313" spans="1:8" s="18" customFormat="1" x14ac:dyDescent="0.4">
      <c r="A313" s="16"/>
      <c r="B313" s="16"/>
      <c r="C313" s="16"/>
      <c r="D313" s="16"/>
      <c r="E313" s="17">
        <f>DATE(1985,7,7)</f>
        <v>31235</v>
      </c>
      <c r="F313" s="46" t="s">
        <v>51</v>
      </c>
      <c r="G313" s="16">
        <v>1</v>
      </c>
      <c r="H313" s="18">
        <v>56</v>
      </c>
    </row>
    <row r="314" spans="1:8" s="18" customFormat="1" x14ac:dyDescent="0.4">
      <c r="A314" s="16"/>
      <c r="B314" s="16"/>
      <c r="C314" s="16"/>
      <c r="D314" s="16"/>
      <c r="E314" s="17">
        <f>DATE(1985,7,8)</f>
        <v>31236</v>
      </c>
      <c r="F314" s="46" t="s">
        <v>51</v>
      </c>
      <c r="G314" s="16">
        <v>3</v>
      </c>
      <c r="H314" s="18">
        <v>56</v>
      </c>
    </row>
    <row r="315" spans="1:8" s="18" customFormat="1" x14ac:dyDescent="0.4">
      <c r="A315" s="16"/>
      <c r="B315" s="16"/>
      <c r="C315" s="16"/>
      <c r="D315" s="16"/>
      <c r="E315" s="17">
        <f>DATE(1985,7,13)</f>
        <v>31241</v>
      </c>
      <c r="F315" s="46" t="s">
        <v>51</v>
      </c>
      <c r="G315" s="16">
        <v>4</v>
      </c>
      <c r="H315" s="18">
        <v>56</v>
      </c>
    </row>
    <row r="316" spans="1:8" s="18" customFormat="1" x14ac:dyDescent="0.4">
      <c r="A316" s="16"/>
      <c r="B316" s="16"/>
      <c r="C316" s="16"/>
      <c r="D316" s="16"/>
      <c r="E316" s="17">
        <f>DATE(1985,7,14)</f>
        <v>31242</v>
      </c>
      <c r="F316" s="46" t="s">
        <v>51</v>
      </c>
      <c r="G316" s="16">
        <v>3</v>
      </c>
      <c r="H316" s="18">
        <v>56</v>
      </c>
    </row>
    <row r="317" spans="1:8" s="18" customFormat="1" x14ac:dyDescent="0.4">
      <c r="A317" s="16"/>
      <c r="B317" s="16"/>
      <c r="C317" s="16"/>
      <c r="D317" s="16"/>
      <c r="E317" s="17">
        <f>DATE(1985,7,17)</f>
        <v>31245</v>
      </c>
      <c r="F317" s="46" t="s">
        <v>51</v>
      </c>
      <c r="G317" s="16">
        <v>1</v>
      </c>
      <c r="H317" s="18">
        <v>56</v>
      </c>
    </row>
    <row r="318" spans="1:8" s="18" customFormat="1" x14ac:dyDescent="0.4">
      <c r="A318" s="16"/>
      <c r="B318" s="16"/>
      <c r="C318" s="16"/>
      <c r="D318" s="16"/>
      <c r="E318" s="17">
        <f>DATE(1985,7,26)</f>
        <v>31254</v>
      </c>
      <c r="F318" s="46" t="s">
        <v>51</v>
      </c>
      <c r="G318" s="16">
        <v>1</v>
      </c>
      <c r="H318" s="18">
        <v>56</v>
      </c>
    </row>
    <row r="319" spans="1:8" x14ac:dyDescent="0.4">
      <c r="A319" s="13">
        <v>50</v>
      </c>
      <c r="B319" s="13" t="s">
        <v>421</v>
      </c>
      <c r="E319" s="14" t="s">
        <v>441</v>
      </c>
      <c r="F319" s="19" t="s">
        <v>51</v>
      </c>
      <c r="G319" s="13">
        <v>1</v>
      </c>
      <c r="H319" s="15">
        <v>56</v>
      </c>
    </row>
    <row r="320" spans="1:8" x14ac:dyDescent="0.4">
      <c r="B320" s="13" t="s">
        <v>423</v>
      </c>
      <c r="E320" s="14">
        <f>DATE(1985,8,1)</f>
        <v>31260</v>
      </c>
      <c r="F320" s="19" t="s">
        <v>51</v>
      </c>
      <c r="G320" s="13">
        <v>1</v>
      </c>
      <c r="H320" s="15">
        <v>56</v>
      </c>
    </row>
    <row r="321" spans="1:8" x14ac:dyDescent="0.4">
      <c r="E321" s="14">
        <f>DATE(1985,8,2)</f>
        <v>31261</v>
      </c>
      <c r="F321" s="19" t="s">
        <v>51</v>
      </c>
      <c r="G321" s="13">
        <v>2</v>
      </c>
      <c r="H321" s="15">
        <v>56</v>
      </c>
    </row>
    <row r="322" spans="1:8" x14ac:dyDescent="0.4">
      <c r="E322" s="14" t="s">
        <v>336</v>
      </c>
      <c r="F322" s="19" t="s">
        <v>51</v>
      </c>
      <c r="G322" s="13">
        <v>1</v>
      </c>
      <c r="H322" s="15">
        <v>56</v>
      </c>
    </row>
    <row r="323" spans="1:8" x14ac:dyDescent="0.4">
      <c r="E323" s="14">
        <f>DATE(1985,8,13)</f>
        <v>31272</v>
      </c>
      <c r="F323" s="19" t="s">
        <v>51</v>
      </c>
      <c r="G323" s="13">
        <v>1</v>
      </c>
      <c r="H323" s="15">
        <v>56</v>
      </c>
    </row>
    <row r="324" spans="1:8" s="18" customFormat="1" x14ac:dyDescent="0.4">
      <c r="A324" s="16">
        <v>51</v>
      </c>
      <c r="B324" s="16" t="s">
        <v>421</v>
      </c>
      <c r="C324" s="16"/>
      <c r="D324" s="16"/>
      <c r="E324" s="17" t="s">
        <v>442</v>
      </c>
      <c r="F324" s="46" t="s">
        <v>51</v>
      </c>
      <c r="G324" s="16">
        <v>1</v>
      </c>
      <c r="H324" s="18">
        <v>56</v>
      </c>
    </row>
    <row r="325" spans="1:8" s="18" customFormat="1" x14ac:dyDescent="0.4">
      <c r="A325" s="16"/>
      <c r="B325" s="16" t="s">
        <v>423</v>
      </c>
      <c r="C325" s="16"/>
      <c r="D325" s="16"/>
      <c r="E325" s="17">
        <f>DATE(1985,9,1)</f>
        <v>31291</v>
      </c>
      <c r="F325" s="46" t="s">
        <v>51</v>
      </c>
      <c r="G325" s="16">
        <v>1</v>
      </c>
      <c r="H325" s="18">
        <v>56</v>
      </c>
    </row>
    <row r="326" spans="1:8" s="18" customFormat="1" x14ac:dyDescent="0.4">
      <c r="A326" s="16"/>
      <c r="B326" s="16"/>
      <c r="C326" s="16"/>
      <c r="D326" s="16"/>
      <c r="E326" s="17">
        <f>DATE(1985,9,2)</f>
        <v>31292</v>
      </c>
      <c r="F326" s="46" t="s">
        <v>51</v>
      </c>
      <c r="G326" s="16">
        <v>1</v>
      </c>
      <c r="H326" s="18">
        <v>56</v>
      </c>
    </row>
    <row r="327" spans="1:8" s="18" customFormat="1" x14ac:dyDescent="0.4">
      <c r="A327" s="16"/>
      <c r="B327" s="16"/>
      <c r="C327" s="16"/>
      <c r="D327" s="16"/>
      <c r="E327" s="17">
        <f>DATE(1985,9,13)</f>
        <v>31303</v>
      </c>
      <c r="F327" s="46" t="s">
        <v>51</v>
      </c>
      <c r="G327" s="16">
        <v>1</v>
      </c>
      <c r="H327" s="18">
        <v>56</v>
      </c>
    </row>
    <row r="328" spans="1:8" s="18" customFormat="1" x14ac:dyDescent="0.4">
      <c r="A328" s="16"/>
      <c r="B328" s="16"/>
      <c r="C328" s="16"/>
      <c r="D328" s="16"/>
      <c r="E328" s="17">
        <f>DATE(1985,9,15)</f>
        <v>31305</v>
      </c>
      <c r="F328" s="46" t="s">
        <v>51</v>
      </c>
      <c r="G328" s="16">
        <v>1</v>
      </c>
      <c r="H328" s="18">
        <v>56</v>
      </c>
    </row>
    <row r="329" spans="1:8" s="18" customFormat="1" x14ac:dyDescent="0.4">
      <c r="A329" s="16"/>
      <c r="B329" s="16"/>
      <c r="C329" s="16"/>
      <c r="D329" s="16"/>
      <c r="E329" s="17">
        <f>DATE(1985,9,20)</f>
        <v>31310</v>
      </c>
      <c r="F329" s="46" t="s">
        <v>51</v>
      </c>
      <c r="G329" s="16">
        <v>1</v>
      </c>
      <c r="H329" s="18">
        <v>56</v>
      </c>
    </row>
    <row r="330" spans="1:8" s="18" customFormat="1" x14ac:dyDescent="0.4">
      <c r="A330" s="16"/>
      <c r="B330" s="16"/>
      <c r="C330" s="16"/>
      <c r="D330" s="16"/>
      <c r="E330" s="17">
        <f>DATE(1985,9,28)</f>
        <v>31318</v>
      </c>
      <c r="F330" s="46" t="s">
        <v>51</v>
      </c>
      <c r="G330" s="16">
        <v>1</v>
      </c>
      <c r="H330" s="18">
        <v>56</v>
      </c>
    </row>
    <row r="331" spans="1:8" s="18" customFormat="1" x14ac:dyDescent="0.4">
      <c r="A331" s="16"/>
      <c r="B331" s="16"/>
      <c r="C331" s="16"/>
      <c r="D331" s="16"/>
      <c r="E331" s="17">
        <f>DATE(1985,9,30)</f>
        <v>31320</v>
      </c>
      <c r="F331" s="46" t="s">
        <v>51</v>
      </c>
      <c r="G331" s="16">
        <v>2</v>
      </c>
      <c r="H331" s="18">
        <v>56</v>
      </c>
    </row>
    <row r="332" spans="1:8" x14ac:dyDescent="0.4">
      <c r="A332" s="13">
        <v>52</v>
      </c>
      <c r="B332" s="13" t="s">
        <v>421</v>
      </c>
      <c r="E332" s="14" t="s">
        <v>443</v>
      </c>
      <c r="F332" s="19" t="s">
        <v>51</v>
      </c>
      <c r="G332" s="13">
        <v>1</v>
      </c>
      <c r="H332" s="15">
        <v>56</v>
      </c>
    </row>
    <row r="333" spans="1:8" x14ac:dyDescent="0.4">
      <c r="B333" s="13" t="s">
        <v>423</v>
      </c>
      <c r="E333" s="14">
        <f>DATE(1985,10,4)</f>
        <v>31324</v>
      </c>
      <c r="F333" s="19" t="s">
        <v>51</v>
      </c>
      <c r="G333" s="13">
        <v>1</v>
      </c>
      <c r="H333" s="15">
        <v>56</v>
      </c>
    </row>
    <row r="334" spans="1:8" x14ac:dyDescent="0.4">
      <c r="E334" s="14">
        <f>DATE(1985,10,5)</f>
        <v>31325</v>
      </c>
      <c r="F334" s="19" t="s">
        <v>51</v>
      </c>
      <c r="G334" s="13">
        <v>2</v>
      </c>
      <c r="H334" s="15">
        <v>56</v>
      </c>
    </row>
    <row r="335" spans="1:8" x14ac:dyDescent="0.4">
      <c r="E335" s="14">
        <f>DATE(1985,10,10)</f>
        <v>31330</v>
      </c>
      <c r="F335" s="19" t="s">
        <v>51</v>
      </c>
      <c r="G335" s="13">
        <v>3</v>
      </c>
      <c r="H335" s="15">
        <v>56</v>
      </c>
    </row>
    <row r="336" spans="1:8" x14ac:dyDescent="0.4">
      <c r="E336" s="14">
        <f>DATE(1985,10,11)</f>
        <v>31331</v>
      </c>
      <c r="F336" s="19" t="s">
        <v>51</v>
      </c>
      <c r="G336" s="13">
        <v>1</v>
      </c>
      <c r="H336" s="15">
        <v>56</v>
      </c>
    </row>
    <row r="337" spans="1:8" s="18" customFormat="1" x14ac:dyDescent="0.4">
      <c r="A337" s="16">
        <v>53</v>
      </c>
      <c r="B337" s="16" t="s">
        <v>421</v>
      </c>
      <c r="C337" s="16"/>
      <c r="D337" s="16"/>
      <c r="E337" s="17" t="s">
        <v>444</v>
      </c>
      <c r="F337" s="46" t="s">
        <v>51</v>
      </c>
      <c r="G337" s="16">
        <v>1</v>
      </c>
      <c r="H337" s="18">
        <v>56</v>
      </c>
    </row>
    <row r="338" spans="1:8" s="18" customFormat="1" x14ac:dyDescent="0.4">
      <c r="A338" s="16"/>
      <c r="B338" s="16" t="s">
        <v>423</v>
      </c>
      <c r="C338" s="16"/>
      <c r="D338" s="16"/>
      <c r="E338" s="17">
        <f>DATE(1985,11,1)</f>
        <v>31352</v>
      </c>
      <c r="F338" s="46" t="s">
        <v>51</v>
      </c>
      <c r="G338" s="16">
        <v>1</v>
      </c>
      <c r="H338" s="18">
        <v>56</v>
      </c>
    </row>
    <row r="339" spans="1:8" s="18" customFormat="1" x14ac:dyDescent="0.4">
      <c r="A339" s="16"/>
      <c r="B339" s="16"/>
      <c r="C339" s="16"/>
      <c r="D339" s="16"/>
      <c r="E339" s="17">
        <f>DATE(1985,11,2)</f>
        <v>31353</v>
      </c>
      <c r="F339" s="46" t="s">
        <v>51</v>
      </c>
      <c r="G339" s="16">
        <v>1</v>
      </c>
      <c r="H339" s="18">
        <v>56</v>
      </c>
    </row>
    <row r="340" spans="1:8" s="18" customFormat="1" x14ac:dyDescent="0.4">
      <c r="A340" s="16"/>
      <c r="B340" s="16"/>
      <c r="C340" s="16"/>
      <c r="D340" s="16"/>
      <c r="E340" s="17">
        <f>DATE(1985,11,19)</f>
        <v>31370</v>
      </c>
      <c r="F340" s="46" t="s">
        <v>51</v>
      </c>
      <c r="G340" s="16">
        <v>8</v>
      </c>
      <c r="H340" s="18">
        <v>56</v>
      </c>
    </row>
    <row r="341" spans="1:8" x14ac:dyDescent="0.4">
      <c r="A341" s="13">
        <v>54</v>
      </c>
      <c r="B341" s="13" t="s">
        <v>421</v>
      </c>
      <c r="E341" s="14" t="s">
        <v>445</v>
      </c>
      <c r="F341" s="19" t="s">
        <v>51</v>
      </c>
      <c r="G341" s="13">
        <v>1</v>
      </c>
      <c r="H341" s="15">
        <v>56</v>
      </c>
    </row>
    <row r="342" spans="1:8" x14ac:dyDescent="0.4">
      <c r="B342" s="13" t="s">
        <v>423</v>
      </c>
      <c r="E342" s="14">
        <f>DATE(1985,12,4)</f>
        <v>31385</v>
      </c>
      <c r="F342" s="19" t="s">
        <v>51</v>
      </c>
      <c r="G342" s="13">
        <v>1</v>
      </c>
      <c r="H342" s="15">
        <v>56</v>
      </c>
    </row>
    <row r="343" spans="1:8" x14ac:dyDescent="0.4">
      <c r="E343" s="14">
        <f>DATE(1985,12,5)</f>
        <v>31386</v>
      </c>
      <c r="F343" s="19" t="s">
        <v>51</v>
      </c>
      <c r="G343" s="13">
        <v>1</v>
      </c>
      <c r="H343" s="15">
        <v>56</v>
      </c>
    </row>
    <row r="344" spans="1:8" x14ac:dyDescent="0.4">
      <c r="E344" s="14">
        <f>DATE(1985,12,6)</f>
        <v>31387</v>
      </c>
      <c r="F344" s="19" t="s">
        <v>51</v>
      </c>
      <c r="G344" s="13">
        <v>1</v>
      </c>
      <c r="H344" s="15">
        <v>56</v>
      </c>
    </row>
    <row r="345" spans="1:8" s="18" customFormat="1" x14ac:dyDescent="0.4">
      <c r="A345" s="16">
        <v>55</v>
      </c>
      <c r="B345" s="16" t="s">
        <v>421</v>
      </c>
      <c r="C345" s="16"/>
      <c r="D345" s="16"/>
      <c r="E345" s="17" t="s">
        <v>446</v>
      </c>
      <c r="F345" s="46" t="s">
        <v>51</v>
      </c>
      <c r="G345" s="16">
        <v>1</v>
      </c>
      <c r="H345" s="18">
        <v>56</v>
      </c>
    </row>
    <row r="346" spans="1:8" x14ac:dyDescent="0.4">
      <c r="A346" s="13">
        <v>56</v>
      </c>
      <c r="B346" s="13" t="s">
        <v>421</v>
      </c>
      <c r="E346" s="14" t="s">
        <v>447</v>
      </c>
      <c r="F346" s="19" t="s">
        <v>51</v>
      </c>
      <c r="G346" s="13">
        <v>1</v>
      </c>
      <c r="H346" s="15">
        <v>56</v>
      </c>
    </row>
    <row r="347" spans="1:8" x14ac:dyDescent="0.4">
      <c r="B347" s="13" t="s">
        <v>423</v>
      </c>
      <c r="E347" s="14">
        <f>DATE(1986,2,20)</f>
        <v>31463</v>
      </c>
      <c r="F347" s="19" t="s">
        <v>51</v>
      </c>
      <c r="G347" s="13">
        <v>1</v>
      </c>
      <c r="H347" s="15">
        <v>56</v>
      </c>
    </row>
    <row r="348" spans="1:8" x14ac:dyDescent="0.4">
      <c r="E348" s="14">
        <f>DATE(1986,2,21)</f>
        <v>31464</v>
      </c>
      <c r="F348" s="19" t="s">
        <v>51</v>
      </c>
      <c r="G348" s="13">
        <v>1</v>
      </c>
      <c r="H348" s="15">
        <v>56</v>
      </c>
    </row>
    <row r="349" spans="1:8" x14ac:dyDescent="0.4">
      <c r="E349" s="14">
        <f>DATE(1986,2,27)</f>
        <v>31470</v>
      </c>
      <c r="F349" s="19" t="s">
        <v>51</v>
      </c>
      <c r="G349" s="13">
        <v>1</v>
      </c>
      <c r="H349" s="15">
        <v>56</v>
      </c>
    </row>
    <row r="350" spans="1:8" x14ac:dyDescent="0.4">
      <c r="E350" s="14">
        <f>DATE(1986,2,28)</f>
        <v>31471</v>
      </c>
      <c r="F350" s="19" t="s">
        <v>51</v>
      </c>
      <c r="G350" s="13">
        <v>1</v>
      </c>
      <c r="H350" s="15">
        <v>56</v>
      </c>
    </row>
    <row r="351" spans="1:8" s="18" customFormat="1" x14ac:dyDescent="0.4">
      <c r="A351" s="16">
        <v>57</v>
      </c>
      <c r="B351" s="16" t="s">
        <v>421</v>
      </c>
      <c r="C351" s="16"/>
      <c r="D351" s="16"/>
      <c r="E351" s="17" t="s">
        <v>448</v>
      </c>
      <c r="F351" s="46" t="s">
        <v>51</v>
      </c>
      <c r="G351" s="16">
        <v>1</v>
      </c>
      <c r="H351" s="18">
        <v>56</v>
      </c>
    </row>
    <row r="352" spans="1:8" s="18" customFormat="1" x14ac:dyDescent="0.4">
      <c r="A352" s="16"/>
      <c r="B352" s="16" t="s">
        <v>423</v>
      </c>
      <c r="C352" s="16"/>
      <c r="D352" s="16"/>
      <c r="E352" s="17">
        <f>DATE(1986,3,1)</f>
        <v>31472</v>
      </c>
      <c r="F352" s="46" t="s">
        <v>51</v>
      </c>
      <c r="G352" s="16">
        <v>2</v>
      </c>
      <c r="H352" s="18">
        <v>56</v>
      </c>
    </row>
    <row r="353" spans="1:8" s="18" customFormat="1" x14ac:dyDescent="0.4">
      <c r="A353" s="16"/>
      <c r="B353" s="16"/>
      <c r="C353" s="16"/>
      <c r="D353" s="16"/>
      <c r="E353" s="17">
        <f>DATE(1986,3,2)</f>
        <v>31473</v>
      </c>
      <c r="F353" s="46" t="s">
        <v>51</v>
      </c>
      <c r="G353" s="16">
        <v>1</v>
      </c>
      <c r="H353" s="18">
        <v>56</v>
      </c>
    </row>
    <row r="354" spans="1:8" s="18" customFormat="1" x14ac:dyDescent="0.4">
      <c r="A354" s="16"/>
      <c r="B354" s="16"/>
      <c r="C354" s="16"/>
      <c r="D354" s="16"/>
      <c r="E354" s="17">
        <f>DATE(1986,3,3)</f>
        <v>31474</v>
      </c>
      <c r="F354" s="46" t="s">
        <v>51</v>
      </c>
      <c r="G354" s="16">
        <v>1</v>
      </c>
      <c r="H354" s="18">
        <v>56</v>
      </c>
    </row>
    <row r="355" spans="1:8" s="18" customFormat="1" x14ac:dyDescent="0.4">
      <c r="A355" s="16"/>
      <c r="B355" s="16"/>
      <c r="C355" s="16"/>
      <c r="D355" s="16"/>
      <c r="E355" s="17">
        <f>DATE(1986,3,11)</f>
        <v>31482</v>
      </c>
      <c r="F355" s="46" t="s">
        <v>51</v>
      </c>
      <c r="G355" s="16">
        <v>4</v>
      </c>
      <c r="H355" s="18">
        <v>56</v>
      </c>
    </row>
    <row r="356" spans="1:8" s="18" customFormat="1" x14ac:dyDescent="0.4">
      <c r="A356" s="16"/>
      <c r="B356" s="16"/>
      <c r="C356" s="16"/>
      <c r="D356" s="16"/>
      <c r="E356" s="17">
        <f>DATE(1986,3,15)</f>
        <v>31486</v>
      </c>
      <c r="F356" s="46" t="s">
        <v>51</v>
      </c>
      <c r="G356" s="16">
        <v>6</v>
      </c>
      <c r="H356" s="18">
        <v>56</v>
      </c>
    </row>
    <row r="357" spans="1:8" s="18" customFormat="1" x14ac:dyDescent="0.4">
      <c r="A357" s="16"/>
      <c r="B357" s="16"/>
      <c r="C357" s="16"/>
      <c r="D357" s="16"/>
      <c r="E357" s="17">
        <f>DATE(1986,3,17)</f>
        <v>31488</v>
      </c>
      <c r="F357" s="46" t="s">
        <v>51</v>
      </c>
      <c r="G357" s="16">
        <v>1</v>
      </c>
      <c r="H357" s="18">
        <v>56</v>
      </c>
    </row>
    <row r="358" spans="1:8" s="18" customFormat="1" x14ac:dyDescent="0.4">
      <c r="A358" s="16"/>
      <c r="B358" s="16"/>
      <c r="C358" s="16"/>
      <c r="D358" s="16"/>
      <c r="E358" s="17">
        <f>DATE(1986,3,26)</f>
        <v>31497</v>
      </c>
      <c r="F358" s="46" t="s">
        <v>51</v>
      </c>
      <c r="G358" s="16">
        <v>1</v>
      </c>
      <c r="H358" s="18">
        <v>56</v>
      </c>
    </row>
    <row r="359" spans="1:8" s="18" customFormat="1" x14ac:dyDescent="0.4">
      <c r="A359" s="16"/>
      <c r="B359" s="16"/>
      <c r="C359" s="16"/>
      <c r="D359" s="16"/>
      <c r="E359" s="17">
        <f>DATE(1986,3,28)</f>
        <v>31499</v>
      </c>
      <c r="F359" s="46" t="s">
        <v>51</v>
      </c>
      <c r="G359" s="16">
        <v>2</v>
      </c>
      <c r="H359" s="18">
        <v>56</v>
      </c>
    </row>
    <row r="360" spans="1:8" s="18" customFormat="1" x14ac:dyDescent="0.4">
      <c r="A360" s="16"/>
      <c r="B360" s="16"/>
      <c r="C360" s="16"/>
      <c r="D360" s="16"/>
      <c r="E360" s="17">
        <f>DATE(1986,3,29)</f>
        <v>31500</v>
      </c>
      <c r="F360" s="46" t="s">
        <v>51</v>
      </c>
      <c r="G360" s="16">
        <v>3</v>
      </c>
      <c r="H360" s="18">
        <v>56</v>
      </c>
    </row>
    <row r="361" spans="1:8" s="18" customFormat="1" x14ac:dyDescent="0.4">
      <c r="A361" s="16"/>
      <c r="B361" s="16"/>
      <c r="C361" s="16"/>
      <c r="D361" s="16"/>
      <c r="E361" s="17">
        <f>DATE(1986,3,30)</f>
        <v>31501</v>
      </c>
      <c r="F361" s="46" t="s">
        <v>51</v>
      </c>
      <c r="G361" s="16">
        <v>2</v>
      </c>
      <c r="H361" s="18">
        <v>56</v>
      </c>
    </row>
    <row r="362" spans="1:8" x14ac:dyDescent="0.4">
      <c r="A362" s="13">
        <v>58</v>
      </c>
      <c r="B362" s="13" t="s">
        <v>421</v>
      </c>
      <c r="E362" s="14" t="s">
        <v>449</v>
      </c>
      <c r="F362" s="19" t="s">
        <v>51</v>
      </c>
      <c r="G362" s="13">
        <v>1</v>
      </c>
      <c r="H362" s="15">
        <v>56</v>
      </c>
    </row>
    <row r="363" spans="1:8" s="18" customFormat="1" x14ac:dyDescent="0.4">
      <c r="A363" s="16">
        <v>59</v>
      </c>
      <c r="B363" s="16" t="s">
        <v>421</v>
      </c>
      <c r="C363" s="16"/>
      <c r="D363" s="16"/>
      <c r="E363" s="17" t="s">
        <v>450</v>
      </c>
      <c r="F363" s="46" t="s">
        <v>51</v>
      </c>
      <c r="G363" s="16">
        <v>1</v>
      </c>
      <c r="H363" s="18">
        <v>56</v>
      </c>
    </row>
    <row r="364" spans="1:8" x14ac:dyDescent="0.4">
      <c r="A364" s="13">
        <v>60</v>
      </c>
      <c r="B364" s="13" t="s">
        <v>421</v>
      </c>
      <c r="E364" s="14" t="s">
        <v>451</v>
      </c>
      <c r="F364" s="19" t="s">
        <v>51</v>
      </c>
      <c r="G364" s="13">
        <v>1</v>
      </c>
      <c r="H364" s="15">
        <v>56</v>
      </c>
    </row>
    <row r="365" spans="1:8" s="18" customFormat="1" x14ac:dyDescent="0.4">
      <c r="A365" s="16">
        <v>61</v>
      </c>
      <c r="B365" s="16" t="s">
        <v>421</v>
      </c>
      <c r="C365" s="16"/>
      <c r="D365" s="16"/>
      <c r="E365" s="17" t="s">
        <v>452</v>
      </c>
      <c r="F365" s="46" t="s">
        <v>51</v>
      </c>
      <c r="G365" s="16">
        <v>1</v>
      </c>
      <c r="H365" s="18">
        <v>56</v>
      </c>
    </row>
    <row r="366" spans="1:8" x14ac:dyDescent="0.4">
      <c r="A366" s="13">
        <v>62</v>
      </c>
      <c r="B366" s="13" t="s">
        <v>421</v>
      </c>
      <c r="E366" s="14" t="s">
        <v>453</v>
      </c>
      <c r="F366" s="19" t="s">
        <v>51</v>
      </c>
      <c r="G366" s="13">
        <v>1</v>
      </c>
      <c r="H366" s="15">
        <v>56</v>
      </c>
    </row>
    <row r="367" spans="1:8" s="18" customFormat="1" x14ac:dyDescent="0.4">
      <c r="A367" s="16">
        <v>63</v>
      </c>
      <c r="B367" s="16" t="s">
        <v>421</v>
      </c>
      <c r="C367" s="16"/>
      <c r="D367" s="16"/>
      <c r="E367" s="17" t="s">
        <v>454</v>
      </c>
      <c r="F367" s="46" t="s">
        <v>51</v>
      </c>
      <c r="G367" s="16">
        <v>1</v>
      </c>
      <c r="H367" s="18">
        <v>56</v>
      </c>
    </row>
    <row r="368" spans="1:8" x14ac:dyDescent="0.4">
      <c r="A368" s="13">
        <v>64</v>
      </c>
      <c r="B368" s="13" t="s">
        <v>421</v>
      </c>
      <c r="E368" s="14" t="s">
        <v>455</v>
      </c>
      <c r="F368" s="19" t="s">
        <v>51</v>
      </c>
      <c r="G368" s="13">
        <v>1</v>
      </c>
      <c r="H368" s="15">
        <v>56</v>
      </c>
    </row>
    <row r="369" spans="1:8" s="18" customFormat="1" x14ac:dyDescent="0.4">
      <c r="A369" s="16">
        <v>65</v>
      </c>
      <c r="B369" s="16" t="s">
        <v>421</v>
      </c>
      <c r="C369" s="16"/>
      <c r="D369" s="16"/>
      <c r="E369" s="17" t="s">
        <v>456</v>
      </c>
      <c r="F369" s="46" t="s">
        <v>51</v>
      </c>
      <c r="G369" s="16">
        <v>1</v>
      </c>
      <c r="H369" s="18">
        <v>56</v>
      </c>
    </row>
    <row r="370" spans="1:8" x14ac:dyDescent="0.4">
      <c r="A370" s="13">
        <v>66</v>
      </c>
      <c r="B370" s="13" t="s">
        <v>421</v>
      </c>
      <c r="E370" s="14" t="s">
        <v>457</v>
      </c>
      <c r="F370" s="19" t="s">
        <v>51</v>
      </c>
      <c r="G370" s="13">
        <v>1</v>
      </c>
      <c r="H370" s="15">
        <v>56</v>
      </c>
    </row>
    <row r="371" spans="1:8" s="18" customFormat="1" x14ac:dyDescent="0.4">
      <c r="A371" s="18">
        <v>67</v>
      </c>
      <c r="B371" s="16" t="s">
        <v>76</v>
      </c>
      <c r="C371" s="18" t="s">
        <v>77</v>
      </c>
      <c r="E371" s="36" t="s">
        <v>458</v>
      </c>
      <c r="F371" s="33" t="s">
        <v>51</v>
      </c>
      <c r="G371" s="18">
        <v>1</v>
      </c>
      <c r="H371" s="18">
        <v>56</v>
      </c>
    </row>
    <row r="372" spans="1:8" s="18" customFormat="1" x14ac:dyDescent="0.4">
      <c r="B372" s="16" t="s">
        <v>80</v>
      </c>
      <c r="C372" s="18" t="s">
        <v>75</v>
      </c>
      <c r="E372" s="25">
        <f>DATE(1990,8,1)</f>
        <v>33086</v>
      </c>
      <c r="F372" s="33" t="s">
        <v>51</v>
      </c>
      <c r="G372" s="18">
        <v>1</v>
      </c>
      <c r="H372" s="18">
        <v>56</v>
      </c>
    </row>
    <row r="373" spans="1:8" s="18" customFormat="1" x14ac:dyDescent="0.4">
      <c r="B373" s="16"/>
      <c r="E373" s="25">
        <f>DATE(1990,8,31)</f>
        <v>33116</v>
      </c>
      <c r="F373" s="33" t="s">
        <v>51</v>
      </c>
      <c r="G373" s="18">
        <v>1</v>
      </c>
      <c r="H373" s="18">
        <v>56</v>
      </c>
    </row>
    <row r="374" spans="1:8" x14ac:dyDescent="0.4">
      <c r="A374" s="15">
        <v>68</v>
      </c>
      <c r="B374" s="13" t="s">
        <v>174</v>
      </c>
      <c r="C374" s="15" t="s">
        <v>77</v>
      </c>
      <c r="D374" s="15"/>
      <c r="E374" s="26" t="s">
        <v>459</v>
      </c>
      <c r="F374" s="29" t="s">
        <v>51</v>
      </c>
      <c r="G374" s="15">
        <v>1</v>
      </c>
      <c r="H374" s="15">
        <v>56</v>
      </c>
    </row>
    <row r="375" spans="1:8" x14ac:dyDescent="0.4">
      <c r="A375" s="15"/>
      <c r="B375" s="13" t="s">
        <v>115</v>
      </c>
      <c r="C375" s="15" t="s">
        <v>75</v>
      </c>
      <c r="D375" s="15"/>
      <c r="E375" s="24">
        <f>DATE(1990,9,1)</f>
        <v>33117</v>
      </c>
      <c r="F375" s="29" t="s">
        <v>51</v>
      </c>
      <c r="G375" s="15">
        <v>1</v>
      </c>
      <c r="H375" s="15">
        <v>56</v>
      </c>
    </row>
    <row r="376" spans="1:8" x14ac:dyDescent="0.4">
      <c r="A376" s="15"/>
      <c r="C376" s="15"/>
      <c r="D376" s="15"/>
      <c r="E376" s="24">
        <f>DATE(1990,9,11)</f>
        <v>33127</v>
      </c>
      <c r="F376" s="29" t="s">
        <v>51</v>
      </c>
      <c r="G376" s="15">
        <v>1</v>
      </c>
      <c r="H376" s="15">
        <v>56</v>
      </c>
    </row>
    <row r="377" spans="1:8" x14ac:dyDescent="0.4">
      <c r="A377" s="15"/>
      <c r="C377" s="15"/>
      <c r="D377" s="15"/>
      <c r="E377" s="24">
        <f>DATE(1990,9,18)</f>
        <v>33134</v>
      </c>
      <c r="F377" s="29" t="s">
        <v>51</v>
      </c>
      <c r="G377" s="15">
        <v>1</v>
      </c>
      <c r="H377" s="15">
        <v>56</v>
      </c>
    </row>
    <row r="378" spans="1:8" x14ac:dyDescent="0.4">
      <c r="A378" s="15"/>
      <c r="C378" s="15"/>
      <c r="D378" s="15"/>
      <c r="E378" s="24">
        <f>DATE(1990,9,19)</f>
        <v>33135</v>
      </c>
      <c r="F378" s="29" t="s">
        <v>51</v>
      </c>
      <c r="G378" s="15">
        <v>1</v>
      </c>
      <c r="H378" s="15">
        <v>56</v>
      </c>
    </row>
    <row r="379" spans="1:8" x14ac:dyDescent="0.4">
      <c r="A379" s="15"/>
      <c r="C379" s="15"/>
      <c r="D379" s="15"/>
      <c r="E379" s="24">
        <f>DATE(1990,9,30)</f>
        <v>33146</v>
      </c>
      <c r="F379" s="29" t="s">
        <v>51</v>
      </c>
      <c r="G379" s="15">
        <v>1</v>
      </c>
      <c r="H379" s="15">
        <v>56</v>
      </c>
    </row>
    <row r="380" spans="1:8" s="18" customFormat="1" x14ac:dyDescent="0.4">
      <c r="A380" s="16">
        <v>69</v>
      </c>
      <c r="B380" s="16" t="s">
        <v>174</v>
      </c>
      <c r="C380" s="16" t="s">
        <v>208</v>
      </c>
      <c r="D380" s="16"/>
      <c r="E380" s="17" t="s">
        <v>460</v>
      </c>
      <c r="F380" s="46" t="s">
        <v>51</v>
      </c>
      <c r="G380" s="16">
        <v>1</v>
      </c>
      <c r="H380" s="18">
        <v>56</v>
      </c>
    </row>
    <row r="381" spans="1:8" s="18" customFormat="1" x14ac:dyDescent="0.4">
      <c r="A381" s="16"/>
      <c r="B381" s="16" t="s">
        <v>115</v>
      </c>
      <c r="C381" s="16" t="s">
        <v>113</v>
      </c>
      <c r="D381" s="16"/>
      <c r="E381" s="17">
        <f>DATE(1990,10,1)</f>
        <v>33147</v>
      </c>
      <c r="F381" s="46" t="s">
        <v>51</v>
      </c>
      <c r="G381" s="16">
        <v>4</v>
      </c>
      <c r="H381" s="18">
        <v>56</v>
      </c>
    </row>
    <row r="382" spans="1:8" s="18" customFormat="1" x14ac:dyDescent="0.4">
      <c r="A382" s="16"/>
      <c r="B382" s="16"/>
      <c r="C382" s="16"/>
      <c r="D382" s="16"/>
      <c r="E382" s="17">
        <f>DATE(1990,10,2)</f>
        <v>33148</v>
      </c>
      <c r="F382" s="46" t="s">
        <v>51</v>
      </c>
      <c r="G382" s="16">
        <v>13</v>
      </c>
      <c r="H382" s="18">
        <v>56</v>
      </c>
    </row>
    <row r="383" spans="1:8" s="18" customFormat="1" x14ac:dyDescent="0.4">
      <c r="A383" s="16"/>
      <c r="B383" s="16"/>
      <c r="C383" s="16"/>
      <c r="D383" s="16"/>
      <c r="E383" s="17">
        <f>DATE(1990,10,3)</f>
        <v>33149</v>
      </c>
      <c r="F383" s="46" t="s">
        <v>51</v>
      </c>
      <c r="G383" s="16">
        <v>1</v>
      </c>
      <c r="H383" s="18">
        <v>56</v>
      </c>
    </row>
    <row r="384" spans="1:8" s="18" customFormat="1" x14ac:dyDescent="0.4">
      <c r="A384" s="16"/>
      <c r="B384" s="16"/>
      <c r="C384" s="16"/>
      <c r="D384" s="16"/>
      <c r="E384" s="17">
        <f>DATE(1990,10,4)</f>
        <v>33150</v>
      </c>
      <c r="F384" s="46" t="s">
        <v>51</v>
      </c>
      <c r="G384" s="16">
        <v>1</v>
      </c>
      <c r="H384" s="18">
        <v>56</v>
      </c>
    </row>
    <row r="385" spans="1:8" s="18" customFormat="1" x14ac:dyDescent="0.4">
      <c r="A385" s="16"/>
      <c r="B385" s="16"/>
      <c r="C385" s="16"/>
      <c r="D385" s="16"/>
      <c r="E385" s="17">
        <f>DATE(1990,10,5)</f>
        <v>33151</v>
      </c>
      <c r="F385" s="46" t="s">
        <v>51</v>
      </c>
      <c r="G385" s="16">
        <v>1</v>
      </c>
      <c r="H385" s="18">
        <v>56</v>
      </c>
    </row>
    <row r="386" spans="1:8" s="18" customFormat="1" x14ac:dyDescent="0.4">
      <c r="A386" s="16"/>
      <c r="B386" s="16"/>
      <c r="C386" s="16"/>
      <c r="D386" s="16"/>
      <c r="E386" s="17">
        <f>DATE(1990,10,6)</f>
        <v>33152</v>
      </c>
      <c r="F386" s="46" t="s">
        <v>51</v>
      </c>
      <c r="G386" s="16">
        <v>1</v>
      </c>
      <c r="H386" s="18">
        <v>56</v>
      </c>
    </row>
    <row r="387" spans="1:8" s="18" customFormat="1" x14ac:dyDescent="0.4">
      <c r="A387" s="16"/>
      <c r="B387" s="16"/>
      <c r="C387" s="16"/>
      <c r="D387" s="16"/>
      <c r="E387" s="17">
        <f>DATE(1990,10,7)</f>
        <v>33153</v>
      </c>
      <c r="F387" s="46" t="s">
        <v>51</v>
      </c>
      <c r="G387" s="16">
        <v>1</v>
      </c>
      <c r="H387" s="18">
        <v>56</v>
      </c>
    </row>
    <row r="388" spans="1:8" s="18" customFormat="1" x14ac:dyDescent="0.4">
      <c r="A388" s="16"/>
      <c r="B388" s="16"/>
      <c r="C388" s="16"/>
      <c r="D388" s="16"/>
      <c r="E388" s="17">
        <f>DATE(1990,10,14)</f>
        <v>33160</v>
      </c>
      <c r="F388" s="46" t="s">
        <v>51</v>
      </c>
      <c r="G388" s="16">
        <v>1</v>
      </c>
      <c r="H388" s="18">
        <v>56</v>
      </c>
    </row>
    <row r="389" spans="1:8" s="18" customFormat="1" x14ac:dyDescent="0.4">
      <c r="A389" s="16"/>
      <c r="B389" s="16"/>
      <c r="C389" s="16"/>
      <c r="D389" s="16"/>
      <c r="E389" s="17">
        <f>DATE(1990,10,16)</f>
        <v>33162</v>
      </c>
      <c r="F389" s="46" t="s">
        <v>51</v>
      </c>
      <c r="G389" s="16">
        <v>3</v>
      </c>
      <c r="H389" s="18">
        <v>56</v>
      </c>
    </row>
    <row r="390" spans="1:8" s="18" customFormat="1" x14ac:dyDescent="0.4">
      <c r="A390" s="16"/>
      <c r="B390" s="16"/>
      <c r="C390" s="16"/>
      <c r="D390" s="16"/>
      <c r="E390" s="17">
        <f>DATE(1990,10,17)</f>
        <v>33163</v>
      </c>
      <c r="F390" s="46" t="s">
        <v>51</v>
      </c>
      <c r="G390" s="16">
        <v>1</v>
      </c>
      <c r="H390" s="18">
        <v>56</v>
      </c>
    </row>
    <row r="391" spans="1:8" s="18" customFormat="1" x14ac:dyDescent="0.4">
      <c r="A391" s="16"/>
      <c r="B391" s="16"/>
      <c r="C391" s="16"/>
      <c r="D391" s="16"/>
      <c r="E391" s="17">
        <f>DATE(1990,10,19)</f>
        <v>33165</v>
      </c>
      <c r="F391" s="46" t="s">
        <v>51</v>
      </c>
      <c r="G391" s="16">
        <v>1</v>
      </c>
      <c r="H391" s="18">
        <v>56</v>
      </c>
    </row>
    <row r="392" spans="1:8" s="18" customFormat="1" x14ac:dyDescent="0.4">
      <c r="A392" s="16"/>
      <c r="B392" s="16"/>
      <c r="C392" s="16"/>
      <c r="D392" s="16"/>
      <c r="E392" s="17">
        <f>DATE(1990,10,21)</f>
        <v>33167</v>
      </c>
      <c r="F392" s="46" t="s">
        <v>51</v>
      </c>
      <c r="G392" s="16">
        <v>1</v>
      </c>
      <c r="H392" s="18">
        <v>56</v>
      </c>
    </row>
    <row r="393" spans="1:8" s="18" customFormat="1" x14ac:dyDescent="0.4">
      <c r="A393" s="16"/>
      <c r="B393" s="16"/>
      <c r="C393" s="16"/>
      <c r="D393" s="16"/>
      <c r="E393" s="17">
        <f>DATE(1990,10,23)</f>
        <v>33169</v>
      </c>
      <c r="F393" s="46" t="s">
        <v>51</v>
      </c>
      <c r="G393" s="16">
        <v>2</v>
      </c>
      <c r="H393" s="18">
        <v>56</v>
      </c>
    </row>
    <row r="394" spans="1:8" s="18" customFormat="1" x14ac:dyDescent="0.4">
      <c r="A394" s="16"/>
      <c r="B394" s="16"/>
      <c r="C394" s="16"/>
      <c r="D394" s="16"/>
      <c r="E394" s="17">
        <f>DATE(1990,10,30)</f>
        <v>33176</v>
      </c>
      <c r="F394" s="46" t="s">
        <v>51</v>
      </c>
      <c r="G394" s="16">
        <v>1</v>
      </c>
      <c r="H394" s="18">
        <v>56</v>
      </c>
    </row>
    <row r="395" spans="1:8" x14ac:dyDescent="0.4">
      <c r="A395" s="15">
        <v>70</v>
      </c>
      <c r="B395" s="13" t="s">
        <v>174</v>
      </c>
      <c r="C395" s="15" t="s">
        <v>208</v>
      </c>
      <c r="D395" s="15"/>
      <c r="E395" s="26" t="s">
        <v>461</v>
      </c>
      <c r="F395" s="29" t="s">
        <v>51</v>
      </c>
      <c r="G395" s="15">
        <v>1</v>
      </c>
      <c r="H395" s="15">
        <v>56</v>
      </c>
    </row>
    <row r="396" spans="1:8" x14ac:dyDescent="0.4">
      <c r="A396" s="15"/>
      <c r="B396" s="13" t="s">
        <v>115</v>
      </c>
      <c r="C396" s="15" t="s">
        <v>113</v>
      </c>
      <c r="D396" s="15"/>
      <c r="E396" s="24">
        <f>DATE(1990,11,1)</f>
        <v>33178</v>
      </c>
      <c r="F396" s="29" t="s">
        <v>51</v>
      </c>
      <c r="G396" s="15">
        <v>2</v>
      </c>
      <c r="H396" s="15">
        <v>56</v>
      </c>
    </row>
    <row r="397" spans="1:8" x14ac:dyDescent="0.4">
      <c r="A397" s="15"/>
      <c r="C397" s="15"/>
      <c r="D397" s="15"/>
      <c r="E397" s="24">
        <f>DATE(1990,11,5)</f>
        <v>33182</v>
      </c>
      <c r="F397" s="29" t="s">
        <v>51</v>
      </c>
      <c r="G397" s="15">
        <v>1</v>
      </c>
      <c r="H397" s="15">
        <v>56</v>
      </c>
    </row>
    <row r="398" spans="1:8" x14ac:dyDescent="0.4">
      <c r="A398" s="15"/>
      <c r="C398" s="15"/>
      <c r="D398" s="15"/>
      <c r="E398" s="24">
        <f>DATE(1990,11,6)</f>
        <v>33183</v>
      </c>
      <c r="F398" s="29" t="s">
        <v>51</v>
      </c>
      <c r="G398" s="15">
        <v>2</v>
      </c>
      <c r="H398" s="15">
        <v>56</v>
      </c>
    </row>
    <row r="399" spans="1:8" x14ac:dyDescent="0.4">
      <c r="A399" s="15"/>
      <c r="C399" s="15"/>
      <c r="D399" s="15"/>
      <c r="E399" s="24">
        <f>DATE(1990,11,10)</f>
        <v>33187</v>
      </c>
      <c r="F399" s="29" t="s">
        <v>51</v>
      </c>
      <c r="G399" s="15">
        <v>2</v>
      </c>
      <c r="H399" s="15">
        <v>56</v>
      </c>
    </row>
    <row r="400" spans="1:8" x14ac:dyDescent="0.4">
      <c r="A400" s="15"/>
      <c r="C400" s="15"/>
      <c r="D400" s="15"/>
      <c r="E400" s="24">
        <f>DATE(1990,11,11)</f>
        <v>33188</v>
      </c>
      <c r="F400" s="29" t="s">
        <v>51</v>
      </c>
      <c r="G400" s="15">
        <v>2</v>
      </c>
      <c r="H400" s="15">
        <v>56</v>
      </c>
    </row>
    <row r="401" spans="1:8" x14ac:dyDescent="0.4">
      <c r="A401" s="15"/>
      <c r="C401" s="15"/>
      <c r="D401" s="15"/>
      <c r="E401" s="24">
        <f>DATE(1990,11,16)</f>
        <v>33193</v>
      </c>
      <c r="F401" s="29" t="s">
        <v>51</v>
      </c>
      <c r="G401" s="15">
        <v>4</v>
      </c>
      <c r="H401" s="15">
        <v>56</v>
      </c>
    </row>
    <row r="402" spans="1:8" x14ac:dyDescent="0.4">
      <c r="A402" s="15"/>
      <c r="C402" s="15"/>
      <c r="D402" s="15"/>
      <c r="E402" s="24">
        <f>DATE(1990,11,17)</f>
        <v>33194</v>
      </c>
      <c r="F402" s="29" t="s">
        <v>51</v>
      </c>
      <c r="G402" s="15">
        <v>1</v>
      </c>
      <c r="H402" s="15">
        <v>56</v>
      </c>
    </row>
    <row r="403" spans="1:8" x14ac:dyDescent="0.4">
      <c r="A403" s="15"/>
      <c r="C403" s="15"/>
      <c r="D403" s="15"/>
      <c r="E403" s="24">
        <f>DATE(1990,11,23)</f>
        <v>33200</v>
      </c>
      <c r="F403" s="29" t="s">
        <v>51</v>
      </c>
      <c r="G403" s="15">
        <v>1</v>
      </c>
      <c r="H403" s="15">
        <v>56</v>
      </c>
    </row>
    <row r="404" spans="1:8" x14ac:dyDescent="0.4">
      <c r="A404" s="15"/>
      <c r="C404" s="15"/>
      <c r="D404" s="15"/>
      <c r="E404" s="24">
        <f>DATE(1990,11,24)</f>
        <v>33201</v>
      </c>
      <c r="F404" s="29" t="s">
        <v>51</v>
      </c>
      <c r="G404" s="15">
        <v>1</v>
      </c>
      <c r="H404" s="15">
        <v>56</v>
      </c>
    </row>
    <row r="405" spans="1:8" x14ac:dyDescent="0.4">
      <c r="A405" s="15"/>
      <c r="C405" s="15"/>
      <c r="D405" s="15"/>
      <c r="E405" s="24">
        <f>DATE(1990,11,25)</f>
        <v>33202</v>
      </c>
      <c r="F405" s="29" t="s">
        <v>51</v>
      </c>
      <c r="G405" s="15">
        <v>1</v>
      </c>
      <c r="H405" s="15">
        <v>56</v>
      </c>
    </row>
    <row r="406" spans="1:8" s="18" customFormat="1" x14ac:dyDescent="0.4">
      <c r="A406" s="16">
        <v>71</v>
      </c>
      <c r="B406" s="16" t="s">
        <v>174</v>
      </c>
      <c r="C406" s="16" t="s">
        <v>208</v>
      </c>
      <c r="D406" s="16"/>
      <c r="E406" s="17" t="s">
        <v>462</v>
      </c>
      <c r="F406" s="46" t="s">
        <v>51</v>
      </c>
      <c r="G406" s="16">
        <v>1</v>
      </c>
      <c r="H406" s="18">
        <v>56</v>
      </c>
    </row>
    <row r="407" spans="1:8" s="18" customFormat="1" x14ac:dyDescent="0.4">
      <c r="A407" s="16"/>
      <c r="B407" s="16" t="s">
        <v>115</v>
      </c>
      <c r="C407" s="16" t="s">
        <v>113</v>
      </c>
      <c r="D407" s="16"/>
      <c r="E407" s="17">
        <f>DATE(1990,12,10)</f>
        <v>33217</v>
      </c>
      <c r="F407" s="46" t="s">
        <v>51</v>
      </c>
      <c r="G407" s="16">
        <v>1</v>
      </c>
      <c r="H407" s="18">
        <v>56</v>
      </c>
    </row>
    <row r="408" spans="1:8" s="18" customFormat="1" x14ac:dyDescent="0.4">
      <c r="A408" s="16"/>
      <c r="B408" s="16"/>
      <c r="C408" s="16"/>
      <c r="D408" s="16"/>
      <c r="E408" s="17">
        <f>DATE(1990,12,21)</f>
        <v>33228</v>
      </c>
      <c r="F408" s="46" t="s">
        <v>51</v>
      </c>
      <c r="G408" s="16">
        <v>12</v>
      </c>
      <c r="H408" s="18">
        <v>56</v>
      </c>
    </row>
    <row r="409" spans="1:8" s="18" customFormat="1" x14ac:dyDescent="0.4">
      <c r="A409" s="16"/>
      <c r="B409" s="16"/>
      <c r="C409" s="16"/>
      <c r="D409" s="16"/>
      <c r="E409" s="17">
        <f>DATE(1990,12,22)</f>
        <v>33229</v>
      </c>
      <c r="F409" s="46" t="s">
        <v>51</v>
      </c>
      <c r="G409" s="16">
        <v>2</v>
      </c>
      <c r="H409" s="18">
        <v>56</v>
      </c>
    </row>
    <row r="410" spans="1:8" s="18" customFormat="1" x14ac:dyDescent="0.4">
      <c r="A410" s="16"/>
      <c r="B410" s="16"/>
      <c r="C410" s="16"/>
      <c r="D410" s="16"/>
      <c r="E410" s="17">
        <f>DATE(1990,12,23)</f>
        <v>33230</v>
      </c>
      <c r="F410" s="46" t="s">
        <v>51</v>
      </c>
      <c r="G410" s="16">
        <v>1</v>
      </c>
      <c r="H410" s="18">
        <v>56</v>
      </c>
    </row>
    <row r="411" spans="1:8" s="18" customFormat="1" x14ac:dyDescent="0.4">
      <c r="A411" s="16"/>
      <c r="B411" s="16"/>
      <c r="C411" s="16"/>
      <c r="D411" s="16"/>
      <c r="E411" s="17">
        <f>DATE(1990,12,27)</f>
        <v>33234</v>
      </c>
      <c r="F411" s="46" t="s">
        <v>51</v>
      </c>
      <c r="G411" s="16">
        <v>1</v>
      </c>
      <c r="H411" s="18">
        <v>56</v>
      </c>
    </row>
    <row r="412" spans="1:8" s="18" customFormat="1" x14ac:dyDescent="0.4">
      <c r="A412" s="16"/>
      <c r="B412" s="16"/>
      <c r="C412" s="16"/>
      <c r="D412" s="16"/>
      <c r="E412" s="17">
        <f>DATE(1990,12,28)</f>
        <v>33235</v>
      </c>
      <c r="F412" s="46" t="s">
        <v>51</v>
      </c>
      <c r="G412" s="16">
        <v>12</v>
      </c>
      <c r="H412" s="18">
        <v>56</v>
      </c>
    </row>
    <row r="413" spans="1:8" s="18" customFormat="1" x14ac:dyDescent="0.4">
      <c r="A413" s="16"/>
      <c r="B413" s="16"/>
      <c r="C413" s="16"/>
      <c r="D413" s="16"/>
      <c r="E413" s="17">
        <f>DATE(1990,12,29)</f>
        <v>33236</v>
      </c>
      <c r="F413" s="46" t="s">
        <v>51</v>
      </c>
      <c r="G413" s="16">
        <v>20</v>
      </c>
      <c r="H413" s="18">
        <v>56</v>
      </c>
    </row>
    <row r="414" spans="1:8" x14ac:dyDescent="0.4">
      <c r="A414" s="15">
        <v>72</v>
      </c>
      <c r="B414" s="13" t="s">
        <v>463</v>
      </c>
      <c r="C414" s="15"/>
      <c r="D414" s="15"/>
      <c r="E414" s="26" t="s">
        <v>50</v>
      </c>
      <c r="F414" s="29" t="s">
        <v>51</v>
      </c>
      <c r="G414" s="15">
        <v>11</v>
      </c>
      <c r="H414" s="15">
        <v>56</v>
      </c>
    </row>
    <row r="415" spans="1:8" s="18" customFormat="1" x14ac:dyDescent="0.4">
      <c r="A415" s="18">
        <v>73</v>
      </c>
      <c r="B415" s="16" t="s">
        <v>464</v>
      </c>
      <c r="E415" s="36" t="s">
        <v>50</v>
      </c>
      <c r="F415" s="33" t="s">
        <v>51</v>
      </c>
      <c r="G415" s="18">
        <v>28</v>
      </c>
      <c r="H415" s="18">
        <v>56</v>
      </c>
    </row>
    <row r="416" spans="1:8" x14ac:dyDescent="0.4">
      <c r="A416" s="15">
        <v>74</v>
      </c>
      <c r="B416" s="13" t="s">
        <v>465</v>
      </c>
      <c r="C416" s="15"/>
      <c r="D416" s="15"/>
      <c r="E416" s="26" t="s">
        <v>50</v>
      </c>
      <c r="F416" s="29" t="s">
        <v>51</v>
      </c>
      <c r="G416" s="15">
        <v>22</v>
      </c>
      <c r="H416" s="15">
        <v>56</v>
      </c>
    </row>
    <row r="417" spans="1:8" s="18" customFormat="1" x14ac:dyDescent="0.4">
      <c r="A417" s="18">
        <v>75</v>
      </c>
      <c r="B417" s="16" t="s">
        <v>466</v>
      </c>
      <c r="E417" s="36">
        <f>DATE(1990,3,16)</f>
        <v>32948</v>
      </c>
      <c r="F417" s="33" t="s">
        <v>51</v>
      </c>
      <c r="G417" s="18">
        <v>1</v>
      </c>
      <c r="H417" s="18">
        <v>56</v>
      </c>
    </row>
    <row r="418" spans="1:8" s="18" customFormat="1" x14ac:dyDescent="0.4">
      <c r="A418" s="16"/>
      <c r="B418" s="16"/>
      <c r="C418" s="16"/>
      <c r="D418" s="16"/>
      <c r="E418" s="36">
        <f>DATE(1990,4,1)</f>
        <v>32964</v>
      </c>
      <c r="F418" s="33" t="s">
        <v>51</v>
      </c>
      <c r="G418" s="16">
        <v>3</v>
      </c>
      <c r="H418" s="18">
        <v>56</v>
      </c>
    </row>
    <row r="419" spans="1:8" s="18" customFormat="1" x14ac:dyDescent="0.4">
      <c r="A419" s="16"/>
      <c r="B419" s="16"/>
      <c r="C419" s="16"/>
      <c r="D419" s="16"/>
      <c r="E419" s="36">
        <f>DATE(1990,5,31)</f>
        <v>33024</v>
      </c>
      <c r="F419" s="33" t="s">
        <v>51</v>
      </c>
      <c r="G419" s="16">
        <v>1</v>
      </c>
      <c r="H419" s="18">
        <v>56</v>
      </c>
    </row>
    <row r="420" spans="1:8" s="18" customFormat="1" x14ac:dyDescent="0.4">
      <c r="A420" s="16"/>
      <c r="B420" s="16"/>
      <c r="C420" s="16"/>
      <c r="D420" s="16"/>
      <c r="E420" s="36">
        <f>DATE(1990,5,31)</f>
        <v>33024</v>
      </c>
      <c r="F420" s="33" t="s">
        <v>51</v>
      </c>
      <c r="G420" s="16">
        <v>1</v>
      </c>
      <c r="H420" s="18">
        <v>56</v>
      </c>
    </row>
    <row r="421" spans="1:8" s="18" customFormat="1" x14ac:dyDescent="0.4">
      <c r="A421" s="16"/>
      <c r="B421" s="16"/>
      <c r="C421" s="16"/>
      <c r="D421" s="16"/>
      <c r="E421" s="36">
        <f>DATE(1990,6,4)</f>
        <v>33028</v>
      </c>
      <c r="F421" s="33" t="s">
        <v>51</v>
      </c>
      <c r="G421" s="16">
        <v>2</v>
      </c>
      <c r="H421" s="18">
        <v>56</v>
      </c>
    </row>
    <row r="422" spans="1:8" s="18" customFormat="1" x14ac:dyDescent="0.4">
      <c r="A422" s="16"/>
      <c r="B422" s="16"/>
      <c r="C422" s="16"/>
      <c r="D422" s="16"/>
      <c r="E422" s="36">
        <f>DATE(1990,6,4)</f>
        <v>33028</v>
      </c>
      <c r="F422" s="33" t="s">
        <v>51</v>
      </c>
      <c r="G422" s="16">
        <v>2</v>
      </c>
      <c r="H422" s="18">
        <v>56</v>
      </c>
    </row>
    <row r="423" spans="1:8" s="18" customFormat="1" x14ac:dyDescent="0.4">
      <c r="A423" s="16"/>
      <c r="B423" s="16"/>
      <c r="C423" s="16"/>
      <c r="D423" s="16"/>
      <c r="E423" s="36">
        <f>DATE(1990,6,8)</f>
        <v>33032</v>
      </c>
      <c r="F423" s="33" t="s">
        <v>51</v>
      </c>
      <c r="G423" s="16">
        <v>2</v>
      </c>
      <c r="H423" s="18">
        <v>56</v>
      </c>
    </row>
    <row r="424" spans="1:8" s="18" customFormat="1" x14ac:dyDescent="0.4">
      <c r="A424" s="16"/>
      <c r="B424" s="16"/>
      <c r="C424" s="16"/>
      <c r="D424" s="16"/>
      <c r="E424" s="36">
        <f>DATE(1990,6,19)</f>
        <v>33043</v>
      </c>
      <c r="F424" s="33" t="s">
        <v>51</v>
      </c>
      <c r="G424" s="16">
        <v>1</v>
      </c>
      <c r="H424" s="18">
        <v>56</v>
      </c>
    </row>
    <row r="425" spans="1:8" s="18" customFormat="1" x14ac:dyDescent="0.4">
      <c r="A425" s="16"/>
      <c r="B425" s="16"/>
      <c r="C425" s="16"/>
      <c r="D425" s="16"/>
      <c r="E425" s="36">
        <f>DATE(1990,6,21)</f>
        <v>33045</v>
      </c>
      <c r="F425" s="33" t="s">
        <v>51</v>
      </c>
      <c r="G425" s="16">
        <v>1</v>
      </c>
      <c r="H425" s="18">
        <v>56</v>
      </c>
    </row>
    <row r="426" spans="1:8" s="18" customFormat="1" x14ac:dyDescent="0.4">
      <c r="A426" s="16"/>
      <c r="B426" s="16"/>
      <c r="C426" s="16"/>
      <c r="D426" s="16"/>
      <c r="E426" s="36">
        <f>DATE(1990,6,22)</f>
        <v>33046</v>
      </c>
      <c r="F426" s="33" t="s">
        <v>51</v>
      </c>
      <c r="G426" s="16">
        <v>2</v>
      </c>
      <c r="H426" s="18">
        <v>56</v>
      </c>
    </row>
    <row r="427" spans="1:8" s="18" customFormat="1" x14ac:dyDescent="0.4">
      <c r="A427" s="16"/>
      <c r="B427" s="16"/>
      <c r="C427" s="16"/>
      <c r="D427" s="16"/>
      <c r="E427" s="36">
        <f>DATE(1990,6,22)</f>
        <v>33046</v>
      </c>
      <c r="F427" s="33" t="s">
        <v>51</v>
      </c>
      <c r="G427" s="16">
        <v>2</v>
      </c>
      <c r="H427" s="18">
        <v>56</v>
      </c>
    </row>
    <row r="428" spans="1:8" s="18" customFormat="1" x14ac:dyDescent="0.4">
      <c r="A428" s="16"/>
      <c r="B428" s="16"/>
      <c r="C428" s="16"/>
      <c r="D428" s="16"/>
      <c r="E428" s="36">
        <f>DATE(1990,6,25)</f>
        <v>33049</v>
      </c>
      <c r="F428" s="33" t="s">
        <v>51</v>
      </c>
      <c r="G428" s="16">
        <v>2</v>
      </c>
      <c r="H428" s="18">
        <v>56</v>
      </c>
    </row>
    <row r="429" spans="1:8" s="18" customFormat="1" x14ac:dyDescent="0.4">
      <c r="A429" s="16"/>
      <c r="B429" s="16"/>
      <c r="C429" s="16"/>
      <c r="D429" s="16"/>
      <c r="E429" s="36">
        <f>DATE(1990,6,25)</f>
        <v>33049</v>
      </c>
      <c r="F429" s="33" t="s">
        <v>51</v>
      </c>
      <c r="G429" s="16">
        <v>2</v>
      </c>
      <c r="H429" s="18">
        <v>56</v>
      </c>
    </row>
    <row r="430" spans="1:8" s="18" customFormat="1" x14ac:dyDescent="0.4">
      <c r="A430" s="16"/>
      <c r="B430" s="16"/>
      <c r="C430" s="16"/>
      <c r="D430" s="16"/>
      <c r="E430" s="36">
        <f>DATE(1990,7,20)</f>
        <v>33074</v>
      </c>
      <c r="F430" s="33" t="s">
        <v>51</v>
      </c>
      <c r="G430" s="16">
        <v>2</v>
      </c>
      <c r="H430" s="18">
        <v>56</v>
      </c>
    </row>
    <row r="431" spans="1:8" s="18" customFormat="1" x14ac:dyDescent="0.4">
      <c r="A431" s="16"/>
      <c r="B431" s="16"/>
      <c r="C431" s="16"/>
      <c r="D431" s="16"/>
      <c r="E431" s="36">
        <f>DATE(1990,8,9)</f>
        <v>33094</v>
      </c>
      <c r="F431" s="33" t="s">
        <v>51</v>
      </c>
      <c r="G431" s="16">
        <v>1</v>
      </c>
      <c r="H431" s="18">
        <v>56</v>
      </c>
    </row>
    <row r="432" spans="1:8" s="18" customFormat="1" x14ac:dyDescent="0.4">
      <c r="A432" s="16"/>
      <c r="B432" s="16"/>
      <c r="C432" s="16"/>
      <c r="D432" s="16"/>
      <c r="E432" s="36">
        <f>DATE(1990,8,13)</f>
        <v>33098</v>
      </c>
      <c r="F432" s="33" t="s">
        <v>51</v>
      </c>
      <c r="G432" s="16">
        <v>1</v>
      </c>
      <c r="H432" s="18">
        <v>56</v>
      </c>
    </row>
    <row r="433" spans="1:8" s="18" customFormat="1" x14ac:dyDescent="0.4">
      <c r="A433" s="16"/>
      <c r="B433" s="16"/>
      <c r="C433" s="16"/>
      <c r="D433" s="16"/>
      <c r="E433" s="36">
        <f>DATE(1990,8,14)</f>
        <v>33099</v>
      </c>
      <c r="F433" s="33" t="s">
        <v>51</v>
      </c>
      <c r="G433" s="16">
        <v>1</v>
      </c>
      <c r="H433" s="18">
        <v>56</v>
      </c>
    </row>
    <row r="434" spans="1:8" s="18" customFormat="1" x14ac:dyDescent="0.4">
      <c r="A434" s="16"/>
      <c r="B434" s="16"/>
      <c r="C434" s="16"/>
      <c r="D434" s="16"/>
      <c r="E434" s="36">
        <f>DATE(1990,8,16)</f>
        <v>33101</v>
      </c>
      <c r="F434" s="33" t="s">
        <v>51</v>
      </c>
      <c r="G434" s="16">
        <v>2</v>
      </c>
      <c r="H434" s="18">
        <v>56</v>
      </c>
    </row>
    <row r="435" spans="1:8" s="18" customFormat="1" x14ac:dyDescent="0.4">
      <c r="A435" s="16"/>
      <c r="B435" s="16"/>
      <c r="C435" s="16"/>
      <c r="D435" s="16"/>
      <c r="E435" s="36">
        <f>DATE(1990,8,17)</f>
        <v>33102</v>
      </c>
      <c r="F435" s="33" t="s">
        <v>51</v>
      </c>
      <c r="G435" s="16">
        <v>1</v>
      </c>
      <c r="H435" s="18">
        <v>56</v>
      </c>
    </row>
    <row r="436" spans="1:8" s="18" customFormat="1" x14ac:dyDescent="0.4">
      <c r="A436" s="16"/>
      <c r="B436" s="16"/>
      <c r="C436" s="16"/>
      <c r="D436" s="16"/>
      <c r="E436" s="36">
        <f>DATE(1990,8,20)</f>
        <v>33105</v>
      </c>
      <c r="F436" s="33" t="s">
        <v>51</v>
      </c>
      <c r="G436" s="16">
        <v>1</v>
      </c>
      <c r="H436" s="18">
        <v>56</v>
      </c>
    </row>
    <row r="437" spans="1:8" s="18" customFormat="1" x14ac:dyDescent="0.4">
      <c r="A437" s="16"/>
      <c r="B437" s="16"/>
      <c r="C437" s="16"/>
      <c r="D437" s="16"/>
      <c r="E437" s="36">
        <f>DATE(1990,8,21)</f>
        <v>33106</v>
      </c>
      <c r="F437" s="33" t="s">
        <v>51</v>
      </c>
      <c r="G437" s="16">
        <v>2</v>
      </c>
      <c r="H437" s="18">
        <v>56</v>
      </c>
    </row>
    <row r="438" spans="1:8" s="18" customFormat="1" x14ac:dyDescent="0.4">
      <c r="A438" s="16"/>
      <c r="B438" s="16"/>
      <c r="C438" s="16"/>
      <c r="D438" s="16"/>
      <c r="E438" s="36">
        <f>DATE(1990,8,22)</f>
        <v>33107</v>
      </c>
      <c r="F438" s="33" t="s">
        <v>51</v>
      </c>
      <c r="G438" s="16">
        <v>1</v>
      </c>
      <c r="H438" s="18">
        <v>56</v>
      </c>
    </row>
    <row r="439" spans="1:8" s="18" customFormat="1" x14ac:dyDescent="0.4">
      <c r="A439" s="16"/>
      <c r="B439" s="16"/>
      <c r="C439" s="16"/>
      <c r="D439" s="16"/>
      <c r="E439" s="36">
        <f>DATE(1990,8,23)</f>
        <v>33108</v>
      </c>
      <c r="F439" s="33" t="s">
        <v>51</v>
      </c>
      <c r="G439" s="16">
        <v>1</v>
      </c>
      <c r="H439" s="18">
        <v>56</v>
      </c>
    </row>
    <row r="440" spans="1:8" s="18" customFormat="1" x14ac:dyDescent="0.4">
      <c r="A440" s="16"/>
      <c r="B440" s="16"/>
      <c r="C440" s="16"/>
      <c r="D440" s="16"/>
      <c r="E440" s="36">
        <f>DATE(1990,8,25)</f>
        <v>33110</v>
      </c>
      <c r="F440" s="33" t="s">
        <v>51</v>
      </c>
      <c r="G440" s="16">
        <v>1</v>
      </c>
      <c r="H440" s="18">
        <v>56</v>
      </c>
    </row>
    <row r="441" spans="1:8" s="18" customFormat="1" x14ac:dyDescent="0.4">
      <c r="A441" s="16"/>
      <c r="B441" s="16"/>
      <c r="C441" s="16"/>
      <c r="D441" s="16"/>
      <c r="E441" s="36">
        <f>DATE(1990,8,31)</f>
        <v>33116</v>
      </c>
      <c r="F441" s="33" t="s">
        <v>51</v>
      </c>
      <c r="G441" s="16">
        <v>2</v>
      </c>
      <c r="H441" s="18">
        <v>56</v>
      </c>
    </row>
    <row r="442" spans="1:8" s="18" customFormat="1" x14ac:dyDescent="0.4">
      <c r="A442" s="16"/>
      <c r="B442" s="16"/>
      <c r="C442" s="16"/>
      <c r="D442" s="16"/>
      <c r="E442" s="36">
        <f>DATE(1990,9,17)</f>
        <v>33133</v>
      </c>
      <c r="F442" s="33" t="s">
        <v>51</v>
      </c>
      <c r="G442" s="16">
        <v>1</v>
      </c>
      <c r="H442" s="18">
        <v>56</v>
      </c>
    </row>
    <row r="443" spans="1:8" s="18" customFormat="1" x14ac:dyDescent="0.4">
      <c r="A443" s="16"/>
      <c r="B443" s="16"/>
      <c r="C443" s="16"/>
      <c r="D443" s="16"/>
      <c r="E443" s="36">
        <f>DATE(1990,9,20)</f>
        <v>33136</v>
      </c>
      <c r="F443" s="33" t="s">
        <v>51</v>
      </c>
      <c r="G443" s="16">
        <v>2</v>
      </c>
      <c r="H443" s="18">
        <v>56</v>
      </c>
    </row>
    <row r="444" spans="1:8" s="18" customFormat="1" x14ac:dyDescent="0.4">
      <c r="A444" s="16"/>
      <c r="B444" s="16"/>
      <c r="C444" s="16"/>
      <c r="D444" s="16"/>
      <c r="E444" s="36">
        <f>DATE(1990,9,27)</f>
        <v>33143</v>
      </c>
      <c r="F444" s="33" t="s">
        <v>51</v>
      </c>
      <c r="G444" s="16">
        <v>2</v>
      </c>
      <c r="H444" s="18">
        <v>56</v>
      </c>
    </row>
    <row r="445" spans="1:8" s="18" customFormat="1" x14ac:dyDescent="0.4">
      <c r="A445" s="16"/>
      <c r="B445" s="16"/>
      <c r="C445" s="16"/>
      <c r="D445" s="16"/>
      <c r="E445" s="36">
        <f>DATE(1990,9,29)</f>
        <v>33145</v>
      </c>
      <c r="F445" s="33" t="s">
        <v>51</v>
      </c>
      <c r="G445" s="16">
        <v>2</v>
      </c>
      <c r="H445" s="18">
        <v>56</v>
      </c>
    </row>
    <row r="446" spans="1:8" s="18" customFormat="1" x14ac:dyDescent="0.4">
      <c r="A446" s="16"/>
      <c r="B446" s="16"/>
      <c r="C446" s="16"/>
      <c r="D446" s="16"/>
      <c r="E446" s="36">
        <f>DATE(1990,10,6)</f>
        <v>33152</v>
      </c>
      <c r="F446" s="33" t="s">
        <v>51</v>
      </c>
      <c r="G446" s="16">
        <v>1</v>
      </c>
      <c r="H446" s="18">
        <v>56</v>
      </c>
    </row>
    <row r="447" spans="1:8" s="18" customFormat="1" x14ac:dyDescent="0.4">
      <c r="A447" s="16"/>
      <c r="B447" s="16"/>
      <c r="C447" s="16"/>
      <c r="D447" s="16"/>
      <c r="E447" s="36">
        <f>DATE(1990,10,12)</f>
        <v>33158</v>
      </c>
      <c r="F447" s="33" t="s">
        <v>51</v>
      </c>
      <c r="G447" s="16">
        <v>3</v>
      </c>
      <c r="H447" s="18">
        <v>56</v>
      </c>
    </row>
    <row r="448" spans="1:8" s="18" customFormat="1" x14ac:dyDescent="0.4">
      <c r="A448" s="16"/>
      <c r="B448" s="16"/>
      <c r="C448" s="16"/>
      <c r="D448" s="16"/>
      <c r="E448" s="36">
        <f>DATE(1990,10,12)</f>
        <v>33158</v>
      </c>
      <c r="F448" s="33" t="s">
        <v>51</v>
      </c>
      <c r="G448" s="16">
        <v>1</v>
      </c>
      <c r="H448" s="18">
        <v>56</v>
      </c>
    </row>
    <row r="449" spans="1:8" s="18" customFormat="1" x14ac:dyDescent="0.4">
      <c r="A449" s="16"/>
      <c r="B449" s="16"/>
      <c r="C449" s="16"/>
      <c r="D449" s="16"/>
      <c r="E449" s="36">
        <f>DATE(1990,10,17)</f>
        <v>33163</v>
      </c>
      <c r="F449" s="33" t="s">
        <v>51</v>
      </c>
      <c r="G449" s="16">
        <v>2</v>
      </c>
      <c r="H449" s="18">
        <v>56</v>
      </c>
    </row>
    <row r="450" spans="1:8" s="18" customFormat="1" x14ac:dyDescent="0.4">
      <c r="A450" s="16"/>
      <c r="B450" s="16"/>
      <c r="C450" s="16"/>
      <c r="D450" s="16"/>
      <c r="E450" s="36">
        <f>DATE(1990,10,17)</f>
        <v>33163</v>
      </c>
      <c r="F450" s="33" t="s">
        <v>51</v>
      </c>
      <c r="G450" s="16">
        <v>2</v>
      </c>
      <c r="H450" s="18">
        <v>56</v>
      </c>
    </row>
    <row r="451" spans="1:8" s="18" customFormat="1" x14ac:dyDescent="0.4">
      <c r="A451" s="16"/>
      <c r="B451" s="16"/>
      <c r="C451" s="16"/>
      <c r="D451" s="16"/>
      <c r="E451" s="36">
        <f>DATE(1990,10,22)</f>
        <v>33168</v>
      </c>
      <c r="F451" s="33" t="s">
        <v>51</v>
      </c>
      <c r="G451" s="16">
        <v>2</v>
      </c>
      <c r="H451" s="18">
        <v>56</v>
      </c>
    </row>
    <row r="452" spans="1:8" s="18" customFormat="1" x14ac:dyDescent="0.4">
      <c r="A452" s="16"/>
      <c r="B452" s="16"/>
      <c r="C452" s="16"/>
      <c r="D452" s="16"/>
      <c r="E452" s="36">
        <f>DATE(1990,10,25)</f>
        <v>33171</v>
      </c>
      <c r="F452" s="33" t="s">
        <v>51</v>
      </c>
      <c r="G452" s="16">
        <v>1</v>
      </c>
      <c r="H452" s="18">
        <v>56</v>
      </c>
    </row>
    <row r="453" spans="1:8" s="18" customFormat="1" x14ac:dyDescent="0.4">
      <c r="A453" s="16"/>
      <c r="B453" s="16"/>
      <c r="C453" s="16"/>
      <c r="D453" s="16"/>
      <c r="E453" s="36">
        <f>DATE(1990,10,25)</f>
        <v>33171</v>
      </c>
      <c r="F453" s="33" t="s">
        <v>51</v>
      </c>
      <c r="G453" s="16">
        <v>1</v>
      </c>
      <c r="H453" s="18">
        <v>56</v>
      </c>
    </row>
    <row r="454" spans="1:8" s="18" customFormat="1" x14ac:dyDescent="0.4">
      <c r="A454" s="16"/>
      <c r="B454" s="16"/>
      <c r="C454" s="16"/>
      <c r="D454" s="16"/>
      <c r="E454" s="36">
        <f>DATE(1990,11,2)</f>
        <v>33179</v>
      </c>
      <c r="F454" s="33" t="s">
        <v>51</v>
      </c>
      <c r="G454" s="16">
        <v>3</v>
      </c>
      <c r="H454" s="18">
        <v>56</v>
      </c>
    </row>
    <row r="455" spans="1:8" s="18" customFormat="1" x14ac:dyDescent="0.4">
      <c r="A455" s="16"/>
      <c r="B455" s="16"/>
      <c r="C455" s="16"/>
      <c r="D455" s="16"/>
      <c r="E455" s="36">
        <f>DATE(1990,11,7)</f>
        <v>33184</v>
      </c>
      <c r="F455" s="33" t="s">
        <v>51</v>
      </c>
      <c r="G455" s="16">
        <v>4</v>
      </c>
      <c r="H455" s="18">
        <v>56</v>
      </c>
    </row>
    <row r="456" spans="1:8" s="18" customFormat="1" x14ac:dyDescent="0.4">
      <c r="A456" s="16"/>
      <c r="B456" s="16"/>
      <c r="C456" s="16"/>
      <c r="D456" s="16"/>
      <c r="E456" s="36">
        <f>DATE(1990,11,7)</f>
        <v>33184</v>
      </c>
      <c r="F456" s="33" t="s">
        <v>51</v>
      </c>
      <c r="G456" s="16">
        <v>2</v>
      </c>
      <c r="H456" s="18">
        <v>56</v>
      </c>
    </row>
    <row r="457" spans="1:8" s="18" customFormat="1" x14ac:dyDescent="0.4">
      <c r="A457" s="16"/>
      <c r="B457" s="16"/>
      <c r="C457" s="16"/>
      <c r="D457" s="16"/>
      <c r="E457" s="36">
        <f>DATE(1990,11,9)</f>
        <v>33186</v>
      </c>
      <c r="F457" s="33" t="s">
        <v>51</v>
      </c>
      <c r="G457" s="16">
        <v>2</v>
      </c>
      <c r="H457" s="18">
        <v>56</v>
      </c>
    </row>
    <row r="458" spans="1:8" s="18" customFormat="1" x14ac:dyDescent="0.4">
      <c r="A458" s="16"/>
      <c r="B458" s="16"/>
      <c r="C458" s="16"/>
      <c r="D458" s="16"/>
      <c r="E458" s="36">
        <f>DATE(1990,11,9)</f>
        <v>33186</v>
      </c>
      <c r="F458" s="33" t="s">
        <v>51</v>
      </c>
      <c r="G458" s="16">
        <v>3</v>
      </c>
      <c r="H458" s="18">
        <v>56</v>
      </c>
    </row>
    <row r="459" spans="1:8" s="18" customFormat="1" x14ac:dyDescent="0.4">
      <c r="A459" s="16"/>
      <c r="B459" s="16"/>
      <c r="C459" s="16"/>
      <c r="D459" s="16"/>
      <c r="E459" s="36">
        <f>DATE(1990,11,11)</f>
        <v>33188</v>
      </c>
      <c r="F459" s="33" t="s">
        <v>51</v>
      </c>
      <c r="G459" s="16">
        <v>3</v>
      </c>
      <c r="H459" s="18">
        <v>56</v>
      </c>
    </row>
    <row r="460" spans="1:8" s="18" customFormat="1" x14ac:dyDescent="0.4">
      <c r="A460" s="16"/>
      <c r="B460" s="16"/>
      <c r="C460" s="16"/>
      <c r="D460" s="16"/>
      <c r="E460" s="36">
        <f>DATE(1990,11,13)</f>
        <v>33190</v>
      </c>
      <c r="F460" s="33" t="s">
        <v>51</v>
      </c>
      <c r="G460" s="16">
        <v>3</v>
      </c>
      <c r="H460" s="18">
        <v>56</v>
      </c>
    </row>
    <row r="461" spans="1:8" s="18" customFormat="1" x14ac:dyDescent="0.4">
      <c r="A461" s="16"/>
      <c r="B461" s="16"/>
      <c r="C461" s="16"/>
      <c r="D461" s="16"/>
      <c r="E461" s="36">
        <f>DATE(1990,11,14)</f>
        <v>33191</v>
      </c>
      <c r="F461" s="33" t="s">
        <v>51</v>
      </c>
      <c r="G461" s="16">
        <v>3</v>
      </c>
      <c r="H461" s="18">
        <v>56</v>
      </c>
    </row>
    <row r="462" spans="1:8" s="18" customFormat="1" x14ac:dyDescent="0.4">
      <c r="A462" s="16"/>
      <c r="B462" s="16"/>
      <c r="C462" s="16"/>
      <c r="D462" s="16"/>
      <c r="E462" s="36">
        <f>DATE(1990,11,14)</f>
        <v>33191</v>
      </c>
      <c r="F462" s="33" t="s">
        <v>51</v>
      </c>
      <c r="G462" s="16">
        <v>2</v>
      </c>
      <c r="H462" s="18">
        <v>56</v>
      </c>
    </row>
    <row r="463" spans="1:8" s="18" customFormat="1" x14ac:dyDescent="0.4">
      <c r="A463" s="16"/>
      <c r="B463" s="16"/>
      <c r="C463" s="16"/>
      <c r="D463" s="16"/>
      <c r="E463" s="36">
        <f>DATE(1990,11,15)</f>
        <v>33192</v>
      </c>
      <c r="F463" s="33" t="s">
        <v>51</v>
      </c>
      <c r="G463" s="16">
        <v>5</v>
      </c>
      <c r="H463" s="18">
        <v>56</v>
      </c>
    </row>
    <row r="464" spans="1:8" s="18" customFormat="1" x14ac:dyDescent="0.4">
      <c r="A464" s="16"/>
      <c r="B464" s="16"/>
      <c r="C464" s="16"/>
      <c r="D464" s="16"/>
      <c r="E464" s="36">
        <f>DATE(1990,11,17)</f>
        <v>33194</v>
      </c>
      <c r="F464" s="33" t="s">
        <v>51</v>
      </c>
      <c r="G464" s="16">
        <v>1</v>
      </c>
      <c r="H464" s="18">
        <v>56</v>
      </c>
    </row>
    <row r="465" spans="1:8" s="18" customFormat="1" x14ac:dyDescent="0.4">
      <c r="A465" s="16"/>
      <c r="B465" s="16"/>
      <c r="C465" s="16"/>
      <c r="D465" s="16"/>
      <c r="E465" s="36">
        <f>DATE(1990,12,7)</f>
        <v>33214</v>
      </c>
      <c r="F465" s="33" t="s">
        <v>51</v>
      </c>
      <c r="G465" s="16">
        <v>3</v>
      </c>
      <c r="H465" s="18">
        <v>56</v>
      </c>
    </row>
    <row r="466" spans="1:8" s="18" customFormat="1" x14ac:dyDescent="0.4">
      <c r="A466" s="16"/>
      <c r="B466" s="16"/>
      <c r="C466" s="16"/>
      <c r="D466" s="16"/>
      <c r="E466" s="36">
        <f>DATE(1990,12,7)</f>
        <v>33214</v>
      </c>
      <c r="F466" s="33" t="s">
        <v>51</v>
      </c>
      <c r="G466" s="16">
        <v>2</v>
      </c>
      <c r="H466" s="18">
        <v>56</v>
      </c>
    </row>
    <row r="467" spans="1:8" s="18" customFormat="1" x14ac:dyDescent="0.4">
      <c r="A467" s="16"/>
      <c r="B467" s="16"/>
      <c r="C467" s="16"/>
      <c r="D467" s="16"/>
      <c r="E467" s="36">
        <f>DATE(1990,12,10)</f>
        <v>33217</v>
      </c>
      <c r="F467" s="33" t="s">
        <v>51</v>
      </c>
      <c r="G467" s="16">
        <v>2</v>
      </c>
      <c r="H467" s="18">
        <v>56</v>
      </c>
    </row>
    <row r="468" spans="1:8" s="18" customFormat="1" x14ac:dyDescent="0.4">
      <c r="A468" s="16"/>
      <c r="B468" s="16"/>
      <c r="C468" s="16"/>
      <c r="D468" s="16"/>
      <c r="E468" s="36">
        <f>DATE(1990,12,10)</f>
        <v>33217</v>
      </c>
      <c r="F468" s="33" t="s">
        <v>51</v>
      </c>
      <c r="G468" s="16">
        <v>1</v>
      </c>
      <c r="H468" s="18">
        <v>56</v>
      </c>
    </row>
    <row r="469" spans="1:8" s="18" customFormat="1" x14ac:dyDescent="0.4">
      <c r="A469" s="16"/>
      <c r="B469" s="16"/>
      <c r="C469" s="16"/>
      <c r="D469" s="16"/>
      <c r="E469" s="36">
        <f>DATE(1990,12,14)</f>
        <v>33221</v>
      </c>
      <c r="F469" s="33" t="s">
        <v>51</v>
      </c>
      <c r="G469" s="16">
        <v>1</v>
      </c>
      <c r="H469" s="18">
        <v>56</v>
      </c>
    </row>
    <row r="470" spans="1:8" s="18" customFormat="1" x14ac:dyDescent="0.4">
      <c r="A470" s="16"/>
      <c r="B470" s="16"/>
      <c r="C470" s="16"/>
      <c r="D470" s="16"/>
      <c r="E470" s="36">
        <f>DATE(1990,12,22)</f>
        <v>33229</v>
      </c>
      <c r="F470" s="33" t="s">
        <v>51</v>
      </c>
      <c r="G470" s="16">
        <v>1</v>
      </c>
      <c r="H470" s="18">
        <v>56</v>
      </c>
    </row>
    <row r="471" spans="1:8" x14ac:dyDescent="0.4">
      <c r="A471" s="15">
        <v>76</v>
      </c>
      <c r="B471" s="13" t="s">
        <v>467</v>
      </c>
      <c r="C471" s="15"/>
      <c r="D471" s="15"/>
      <c r="E471" s="24">
        <f>DATE(1990,10,7)</f>
        <v>33153</v>
      </c>
      <c r="F471" s="29" t="s">
        <v>294</v>
      </c>
      <c r="G471" s="15">
        <v>4</v>
      </c>
      <c r="H471" s="15">
        <v>56</v>
      </c>
    </row>
    <row r="472" spans="1:8" s="18" customFormat="1" x14ac:dyDescent="0.4">
      <c r="A472" s="18">
        <v>77</v>
      </c>
      <c r="B472" s="16" t="s">
        <v>468</v>
      </c>
      <c r="E472" s="25">
        <f>DATE(1990,10,8)</f>
        <v>33154</v>
      </c>
      <c r="F472" s="33" t="s">
        <v>294</v>
      </c>
      <c r="G472" s="18">
        <v>2</v>
      </c>
      <c r="H472" s="18">
        <v>56</v>
      </c>
    </row>
    <row r="473" spans="1:8" x14ac:dyDescent="0.4">
      <c r="A473" s="15">
        <v>78</v>
      </c>
      <c r="B473" s="13" t="s">
        <v>469</v>
      </c>
      <c r="C473" s="15"/>
      <c r="D473" s="15"/>
      <c r="E473" s="26" t="s">
        <v>50</v>
      </c>
      <c r="F473" s="29" t="s">
        <v>294</v>
      </c>
      <c r="G473" s="15">
        <v>2</v>
      </c>
      <c r="H473" s="15">
        <v>56</v>
      </c>
    </row>
    <row r="474" spans="1:8" s="18" customFormat="1" ht="15.75" x14ac:dyDescent="0.4">
      <c r="A474" s="16">
        <v>79</v>
      </c>
      <c r="B474" s="16" t="s">
        <v>470</v>
      </c>
      <c r="C474" s="16"/>
      <c r="D474" s="16"/>
      <c r="E474" s="17" t="s">
        <v>50</v>
      </c>
      <c r="F474" s="46" t="s">
        <v>471</v>
      </c>
      <c r="G474" s="16">
        <v>1</v>
      </c>
      <c r="H474" s="18">
        <v>56</v>
      </c>
    </row>
    <row r="475" spans="1:8" ht="15.75" x14ac:dyDescent="0.4">
      <c r="A475" s="13">
        <v>80</v>
      </c>
      <c r="B475" s="13" t="s">
        <v>472</v>
      </c>
      <c r="E475" s="14" t="s">
        <v>50</v>
      </c>
      <c r="F475" s="19" t="s">
        <v>294</v>
      </c>
      <c r="G475" s="13">
        <v>2</v>
      </c>
      <c r="H475" s="15">
        <v>56</v>
      </c>
    </row>
    <row r="476" spans="1:8" s="18" customFormat="1" ht="15.75" x14ac:dyDescent="0.4">
      <c r="A476" s="16">
        <v>81</v>
      </c>
      <c r="B476" s="16" t="s">
        <v>473</v>
      </c>
      <c r="C476" s="16"/>
      <c r="D476" s="16"/>
      <c r="E476" s="17" t="s">
        <v>50</v>
      </c>
      <c r="F476" s="46" t="s">
        <v>294</v>
      </c>
      <c r="G476" s="16">
        <v>2</v>
      </c>
      <c r="H476" s="18">
        <v>56</v>
      </c>
    </row>
    <row r="477" spans="1:8" ht="15.75" x14ac:dyDescent="0.4">
      <c r="A477" s="13">
        <v>82</v>
      </c>
      <c r="B477" s="13" t="s">
        <v>474</v>
      </c>
      <c r="E477" s="14" t="s">
        <v>50</v>
      </c>
      <c r="F477" s="19" t="s">
        <v>294</v>
      </c>
      <c r="G477" s="13">
        <v>3</v>
      </c>
      <c r="H477" s="15">
        <v>56</v>
      </c>
    </row>
    <row r="478" spans="1:8" s="18" customFormat="1" ht="15.75" x14ac:dyDescent="0.4">
      <c r="A478" s="16">
        <v>83</v>
      </c>
      <c r="B478" s="16" t="s">
        <v>475</v>
      </c>
      <c r="C478" s="16"/>
      <c r="D478" s="16"/>
      <c r="E478" s="17" t="s">
        <v>50</v>
      </c>
      <c r="F478" s="46" t="s">
        <v>294</v>
      </c>
      <c r="G478" s="16">
        <v>4</v>
      </c>
      <c r="H478" s="18">
        <v>56</v>
      </c>
    </row>
    <row r="479" spans="1:8" ht="15.75" x14ac:dyDescent="0.4">
      <c r="A479" s="13">
        <v>84</v>
      </c>
      <c r="B479" s="13" t="s">
        <v>476</v>
      </c>
      <c r="E479" s="14" t="s">
        <v>50</v>
      </c>
      <c r="F479" s="19" t="s">
        <v>477</v>
      </c>
      <c r="G479" s="13">
        <v>17</v>
      </c>
      <c r="H479" s="15">
        <v>56</v>
      </c>
    </row>
    <row r="480" spans="1:8" s="18" customFormat="1" x14ac:dyDescent="0.4">
      <c r="A480" s="16">
        <v>85</v>
      </c>
      <c r="B480" s="16" t="s">
        <v>478</v>
      </c>
      <c r="C480" s="16"/>
      <c r="D480" s="16"/>
      <c r="E480" s="17" t="s">
        <v>50</v>
      </c>
      <c r="F480" s="46" t="s">
        <v>479</v>
      </c>
      <c r="G480" s="16">
        <v>16</v>
      </c>
      <c r="H480" s="18">
        <v>56</v>
      </c>
    </row>
    <row r="481" spans="1:8" x14ac:dyDescent="0.4">
      <c r="A481" s="13">
        <v>86</v>
      </c>
      <c r="B481" s="13" t="s">
        <v>480</v>
      </c>
      <c r="E481" s="14" t="s">
        <v>50</v>
      </c>
      <c r="F481" s="19" t="s">
        <v>87</v>
      </c>
      <c r="G481" s="13">
        <v>10</v>
      </c>
      <c r="H481" s="15">
        <v>56</v>
      </c>
    </row>
    <row r="482" spans="1:8" s="18" customFormat="1" x14ac:dyDescent="0.4">
      <c r="A482" s="16">
        <v>87</v>
      </c>
      <c r="B482" s="16" t="s">
        <v>481</v>
      </c>
      <c r="C482" s="16"/>
      <c r="D482" s="16"/>
      <c r="E482" s="17" t="s">
        <v>50</v>
      </c>
      <c r="F482" s="46" t="s">
        <v>87</v>
      </c>
      <c r="G482" s="16">
        <v>1</v>
      </c>
      <c r="H482" s="18">
        <v>56</v>
      </c>
    </row>
    <row r="483" spans="1:8" x14ac:dyDescent="0.4">
      <c r="A483" s="13">
        <v>88</v>
      </c>
      <c r="B483" s="13" t="s">
        <v>482</v>
      </c>
      <c r="E483" s="14" t="s">
        <v>50</v>
      </c>
      <c r="F483" s="19" t="s">
        <v>87</v>
      </c>
      <c r="G483" s="13">
        <v>8</v>
      </c>
      <c r="H483" s="15">
        <v>56</v>
      </c>
    </row>
    <row r="484" spans="1:8" s="18" customFormat="1" ht="15.75" x14ac:dyDescent="0.4">
      <c r="A484" s="16">
        <v>89</v>
      </c>
      <c r="B484" s="16" t="s">
        <v>483</v>
      </c>
      <c r="C484" s="16"/>
      <c r="D484" s="16"/>
      <c r="E484" s="17" t="s">
        <v>50</v>
      </c>
      <c r="F484" s="46" t="s">
        <v>87</v>
      </c>
      <c r="G484" s="16">
        <v>78</v>
      </c>
      <c r="H484" s="18">
        <v>56</v>
      </c>
    </row>
    <row r="485" spans="1:8" ht="15.75" x14ac:dyDescent="0.4">
      <c r="A485" s="13">
        <v>90</v>
      </c>
      <c r="B485" s="13" t="s">
        <v>484</v>
      </c>
      <c r="E485" s="14" t="s">
        <v>50</v>
      </c>
      <c r="F485" s="19" t="s">
        <v>87</v>
      </c>
      <c r="G485" s="13">
        <v>15</v>
      </c>
      <c r="H485" s="15">
        <v>56</v>
      </c>
    </row>
    <row r="486" spans="1:8" s="18" customFormat="1" ht="15.75" x14ac:dyDescent="0.4">
      <c r="A486" s="16">
        <v>91</v>
      </c>
      <c r="B486" s="16" t="s">
        <v>485</v>
      </c>
      <c r="C486" s="16"/>
      <c r="D486" s="16"/>
      <c r="E486" s="17" t="s">
        <v>50</v>
      </c>
      <c r="F486" s="46" t="s">
        <v>294</v>
      </c>
      <c r="G486" s="16">
        <v>4</v>
      </c>
      <c r="H486" s="18">
        <v>56</v>
      </c>
    </row>
    <row r="487" spans="1:8" s="18" customFormat="1" x14ac:dyDescent="0.4">
      <c r="A487" s="16"/>
      <c r="B487" s="16"/>
      <c r="C487" s="16"/>
      <c r="D487" s="16"/>
      <c r="E487" s="17"/>
      <c r="F487" s="46"/>
      <c r="G487" s="16">
        <f>SUM(G3:G486)</f>
        <v>1523</v>
      </c>
    </row>
    <row r="488" spans="1:8" s="44" customFormat="1" x14ac:dyDescent="0.4">
      <c r="A488" s="42"/>
      <c r="B488" s="42"/>
      <c r="C488" s="42"/>
      <c r="D488" s="42"/>
      <c r="E488" s="43"/>
      <c r="F488" s="89" t="s">
        <v>118</v>
      </c>
      <c r="G488" s="45"/>
    </row>
    <row r="489" spans="1:8" x14ac:dyDescent="0.4">
      <c r="A489" s="13">
        <v>92</v>
      </c>
      <c r="B489" s="13" t="s">
        <v>119</v>
      </c>
      <c r="E489" s="14" t="s">
        <v>486</v>
      </c>
      <c r="F489" s="19">
        <v>4</v>
      </c>
      <c r="G489" s="13" t="s">
        <v>487</v>
      </c>
      <c r="H489" s="15">
        <v>55</v>
      </c>
    </row>
    <row r="490" spans="1:8" x14ac:dyDescent="0.4">
      <c r="E490" s="14" t="s">
        <v>488</v>
      </c>
      <c r="F490" s="19">
        <v>4</v>
      </c>
      <c r="G490" s="13" t="s">
        <v>121</v>
      </c>
      <c r="H490" s="15">
        <v>55</v>
      </c>
    </row>
    <row r="491" spans="1:8" x14ac:dyDescent="0.4">
      <c r="E491" s="14" t="s">
        <v>489</v>
      </c>
      <c r="F491" s="19">
        <v>4</v>
      </c>
      <c r="G491" s="13" t="s">
        <v>121</v>
      </c>
      <c r="H491" s="15">
        <v>55</v>
      </c>
    </row>
    <row r="492" spans="1:8" x14ac:dyDescent="0.4">
      <c r="E492" s="14" t="s">
        <v>490</v>
      </c>
      <c r="F492" s="19">
        <v>3</v>
      </c>
      <c r="G492" s="13" t="s">
        <v>121</v>
      </c>
      <c r="H492" s="15">
        <v>55</v>
      </c>
    </row>
    <row r="493" spans="1:8" x14ac:dyDescent="0.4">
      <c r="E493" s="14" t="s">
        <v>491</v>
      </c>
      <c r="F493" s="19">
        <v>3</v>
      </c>
      <c r="G493" s="13" t="s">
        <v>121</v>
      </c>
      <c r="H493" s="15">
        <v>55</v>
      </c>
    </row>
    <row r="494" spans="1:8" x14ac:dyDescent="0.4">
      <c r="E494" s="14" t="s">
        <v>492</v>
      </c>
      <c r="F494" s="19">
        <v>3</v>
      </c>
      <c r="G494" s="13" t="s">
        <v>121</v>
      </c>
      <c r="H494" s="15">
        <v>55</v>
      </c>
    </row>
    <row r="495" spans="1:8" x14ac:dyDescent="0.4">
      <c r="E495" s="14" t="s">
        <v>493</v>
      </c>
      <c r="F495" s="19">
        <v>2</v>
      </c>
      <c r="G495" s="13" t="s">
        <v>121</v>
      </c>
      <c r="H495" s="15">
        <v>55</v>
      </c>
    </row>
    <row r="496" spans="1:8" x14ac:dyDescent="0.4">
      <c r="E496" s="14" t="s">
        <v>494</v>
      </c>
      <c r="F496" s="19">
        <v>4</v>
      </c>
      <c r="G496" s="13" t="s">
        <v>121</v>
      </c>
      <c r="H496" s="15">
        <v>55</v>
      </c>
    </row>
    <row r="497" spans="5:8" x14ac:dyDescent="0.4">
      <c r="E497" s="14" t="s">
        <v>495</v>
      </c>
      <c r="F497" s="19">
        <v>4</v>
      </c>
      <c r="G497" s="13" t="s">
        <v>487</v>
      </c>
      <c r="H497" s="15">
        <v>55</v>
      </c>
    </row>
    <row r="498" spans="5:8" x14ac:dyDescent="0.4">
      <c r="E498" s="14" t="s">
        <v>496</v>
      </c>
      <c r="F498" s="19">
        <v>3</v>
      </c>
      <c r="G498" s="13" t="s">
        <v>121</v>
      </c>
      <c r="H498" s="15">
        <v>55</v>
      </c>
    </row>
    <row r="499" spans="5:8" x14ac:dyDescent="0.4">
      <c r="E499" s="14" t="s">
        <v>497</v>
      </c>
      <c r="F499" s="19">
        <v>4</v>
      </c>
      <c r="G499" s="13" t="s">
        <v>121</v>
      </c>
      <c r="H499" s="15">
        <v>55</v>
      </c>
    </row>
    <row r="500" spans="5:8" x14ac:dyDescent="0.4">
      <c r="E500" s="14" t="s">
        <v>498</v>
      </c>
      <c r="F500" s="19">
        <v>3</v>
      </c>
      <c r="G500" s="13" t="s">
        <v>121</v>
      </c>
      <c r="H500" s="15">
        <v>55</v>
      </c>
    </row>
    <row r="501" spans="5:8" x14ac:dyDescent="0.4">
      <c r="E501" s="14" t="s">
        <v>499</v>
      </c>
      <c r="F501" s="19">
        <v>2</v>
      </c>
      <c r="G501" s="13" t="s">
        <v>121</v>
      </c>
      <c r="H501" s="15">
        <v>55</v>
      </c>
    </row>
    <row r="502" spans="5:8" x14ac:dyDescent="0.4">
      <c r="E502" s="14" t="s">
        <v>500</v>
      </c>
      <c r="F502" s="19">
        <v>4</v>
      </c>
      <c r="G502" s="13" t="s">
        <v>121</v>
      </c>
      <c r="H502" s="15">
        <v>55</v>
      </c>
    </row>
    <row r="503" spans="5:8" x14ac:dyDescent="0.4">
      <c r="E503" s="14" t="s">
        <v>501</v>
      </c>
      <c r="F503" s="19">
        <v>5</v>
      </c>
      <c r="G503" s="13" t="s">
        <v>487</v>
      </c>
      <c r="H503" s="15">
        <v>55</v>
      </c>
    </row>
    <row r="504" spans="5:8" x14ac:dyDescent="0.4">
      <c r="E504" s="14" t="s">
        <v>502</v>
      </c>
      <c r="F504" s="19">
        <v>2</v>
      </c>
      <c r="G504" s="13" t="s">
        <v>487</v>
      </c>
      <c r="H504" s="15">
        <v>55</v>
      </c>
    </row>
    <row r="505" spans="5:8" x14ac:dyDescent="0.4">
      <c r="E505" s="14" t="s">
        <v>503</v>
      </c>
      <c r="F505" s="19">
        <v>4</v>
      </c>
      <c r="G505" s="13" t="s">
        <v>487</v>
      </c>
      <c r="H505" s="15">
        <v>55</v>
      </c>
    </row>
    <row r="506" spans="5:8" x14ac:dyDescent="0.4">
      <c r="E506" s="14" t="s">
        <v>504</v>
      </c>
      <c r="F506" s="19">
        <v>4</v>
      </c>
      <c r="G506" s="13" t="s">
        <v>487</v>
      </c>
      <c r="H506" s="15">
        <v>55</v>
      </c>
    </row>
    <row r="507" spans="5:8" x14ac:dyDescent="0.4">
      <c r="E507" s="14" t="s">
        <v>505</v>
      </c>
      <c r="F507" s="19">
        <v>5</v>
      </c>
      <c r="G507" s="13" t="s">
        <v>487</v>
      </c>
      <c r="H507" s="15">
        <v>55</v>
      </c>
    </row>
    <row r="508" spans="5:8" x14ac:dyDescent="0.4">
      <c r="E508" s="14" t="s">
        <v>506</v>
      </c>
      <c r="F508" s="19">
        <v>4</v>
      </c>
      <c r="G508" s="13" t="s">
        <v>487</v>
      </c>
      <c r="H508" s="15">
        <v>55</v>
      </c>
    </row>
    <row r="509" spans="5:8" x14ac:dyDescent="0.4">
      <c r="E509" s="14" t="s">
        <v>507</v>
      </c>
      <c r="F509" s="19">
        <v>5</v>
      </c>
      <c r="G509" s="13" t="s">
        <v>487</v>
      </c>
      <c r="H509" s="15">
        <v>55</v>
      </c>
    </row>
    <row r="510" spans="5:8" x14ac:dyDescent="0.4">
      <c r="E510" s="14" t="s">
        <v>508</v>
      </c>
      <c r="F510" s="19">
        <v>3</v>
      </c>
      <c r="G510" s="13" t="s">
        <v>487</v>
      </c>
      <c r="H510" s="15">
        <v>55</v>
      </c>
    </row>
    <row r="511" spans="5:8" x14ac:dyDescent="0.4">
      <c r="E511" s="14" t="s">
        <v>509</v>
      </c>
      <c r="F511" s="19">
        <v>3</v>
      </c>
      <c r="G511" s="13" t="s">
        <v>487</v>
      </c>
      <c r="H511" s="15">
        <v>55</v>
      </c>
    </row>
    <row r="512" spans="5:8" x14ac:dyDescent="0.4">
      <c r="E512" s="14" t="s">
        <v>510</v>
      </c>
      <c r="F512" s="19">
        <v>3</v>
      </c>
      <c r="G512" s="13" t="s">
        <v>121</v>
      </c>
      <c r="H512" s="15">
        <v>55</v>
      </c>
    </row>
    <row r="513" spans="5:8" x14ac:dyDescent="0.4">
      <c r="E513" s="14" t="s">
        <v>511</v>
      </c>
      <c r="F513" s="19">
        <v>2</v>
      </c>
      <c r="G513" s="13" t="s">
        <v>121</v>
      </c>
      <c r="H513" s="15">
        <v>55</v>
      </c>
    </row>
    <row r="514" spans="5:8" x14ac:dyDescent="0.4">
      <c r="E514" s="14" t="s">
        <v>512</v>
      </c>
      <c r="F514" s="19">
        <v>4</v>
      </c>
      <c r="G514" s="13" t="s">
        <v>487</v>
      </c>
      <c r="H514" s="15">
        <v>55</v>
      </c>
    </row>
    <row r="515" spans="5:8" x14ac:dyDescent="0.4">
      <c r="E515" s="14" t="s">
        <v>513</v>
      </c>
      <c r="F515" s="19">
        <v>5</v>
      </c>
      <c r="G515" s="13" t="s">
        <v>121</v>
      </c>
      <c r="H515" s="15">
        <v>55</v>
      </c>
    </row>
    <row r="516" spans="5:8" x14ac:dyDescent="0.4">
      <c r="E516" s="14" t="s">
        <v>514</v>
      </c>
      <c r="F516" s="19">
        <v>2</v>
      </c>
      <c r="G516" s="13" t="s">
        <v>121</v>
      </c>
      <c r="H516" s="15">
        <v>55</v>
      </c>
    </row>
    <row r="517" spans="5:8" x14ac:dyDescent="0.4">
      <c r="E517" s="14" t="s">
        <v>515</v>
      </c>
      <c r="F517" s="19">
        <v>2</v>
      </c>
      <c r="G517" s="13" t="s">
        <v>121</v>
      </c>
      <c r="H517" s="15">
        <v>55</v>
      </c>
    </row>
    <row r="518" spans="5:8" x14ac:dyDescent="0.4">
      <c r="E518" s="14" t="s">
        <v>516</v>
      </c>
      <c r="F518" s="19">
        <v>2</v>
      </c>
      <c r="G518" s="13" t="s">
        <v>121</v>
      </c>
      <c r="H518" s="15">
        <v>55</v>
      </c>
    </row>
    <row r="519" spans="5:8" x14ac:dyDescent="0.4">
      <c r="E519" s="14" t="s">
        <v>517</v>
      </c>
      <c r="F519" s="19">
        <v>2</v>
      </c>
      <c r="G519" s="13" t="s">
        <v>121</v>
      </c>
      <c r="H519" s="15">
        <v>55</v>
      </c>
    </row>
    <row r="520" spans="5:8" x14ac:dyDescent="0.4">
      <c r="E520" s="14" t="s">
        <v>518</v>
      </c>
      <c r="F520" s="19">
        <v>2</v>
      </c>
      <c r="G520" s="13" t="s">
        <v>121</v>
      </c>
      <c r="H520" s="15">
        <v>55</v>
      </c>
    </row>
    <row r="521" spans="5:8" x14ac:dyDescent="0.4">
      <c r="E521" s="14" t="s">
        <v>519</v>
      </c>
      <c r="F521" s="19">
        <v>2</v>
      </c>
      <c r="G521" s="13" t="s">
        <v>121</v>
      </c>
      <c r="H521" s="15">
        <v>55</v>
      </c>
    </row>
    <row r="522" spans="5:8" x14ac:dyDescent="0.4">
      <c r="E522" s="14" t="s">
        <v>520</v>
      </c>
      <c r="F522" s="19">
        <v>2</v>
      </c>
      <c r="G522" s="13" t="s">
        <v>121</v>
      </c>
      <c r="H522" s="15">
        <v>55</v>
      </c>
    </row>
    <row r="523" spans="5:8" x14ac:dyDescent="0.4">
      <c r="E523" s="14" t="s">
        <v>521</v>
      </c>
      <c r="F523" s="19">
        <v>3</v>
      </c>
      <c r="G523" s="13" t="s">
        <v>121</v>
      </c>
      <c r="H523" s="15">
        <v>55</v>
      </c>
    </row>
    <row r="524" spans="5:8" x14ac:dyDescent="0.4">
      <c r="E524" s="14" t="s">
        <v>522</v>
      </c>
      <c r="F524" s="19">
        <v>4</v>
      </c>
      <c r="G524" s="13" t="s">
        <v>487</v>
      </c>
      <c r="H524" s="15">
        <v>55</v>
      </c>
    </row>
    <row r="525" spans="5:8" x14ac:dyDescent="0.4">
      <c r="E525" s="14" t="s">
        <v>523</v>
      </c>
      <c r="F525" s="19">
        <v>5</v>
      </c>
      <c r="G525" s="13" t="s">
        <v>121</v>
      </c>
      <c r="H525" s="15">
        <v>55</v>
      </c>
    </row>
    <row r="526" spans="5:8" x14ac:dyDescent="0.4">
      <c r="E526" s="14" t="s">
        <v>524</v>
      </c>
      <c r="F526" s="19">
        <v>3</v>
      </c>
      <c r="G526" s="13" t="s">
        <v>121</v>
      </c>
      <c r="H526" s="15">
        <v>55</v>
      </c>
    </row>
    <row r="527" spans="5:8" x14ac:dyDescent="0.4">
      <c r="E527" s="14" t="s">
        <v>525</v>
      </c>
      <c r="F527" s="19">
        <v>4</v>
      </c>
      <c r="G527" s="13" t="s">
        <v>121</v>
      </c>
      <c r="H527" s="15">
        <v>55</v>
      </c>
    </row>
    <row r="528" spans="5:8" x14ac:dyDescent="0.4">
      <c r="E528" s="14" t="s">
        <v>526</v>
      </c>
      <c r="F528" s="19">
        <v>3</v>
      </c>
      <c r="G528" s="13" t="s">
        <v>121</v>
      </c>
      <c r="H528" s="15">
        <v>55</v>
      </c>
    </row>
    <row r="529" spans="5:8" x14ac:dyDescent="0.4">
      <c r="E529" s="14" t="s">
        <v>527</v>
      </c>
      <c r="F529" s="19">
        <v>4</v>
      </c>
      <c r="G529" s="13" t="s">
        <v>121</v>
      </c>
      <c r="H529" s="15">
        <v>55</v>
      </c>
    </row>
    <row r="530" spans="5:8" x14ac:dyDescent="0.4">
      <c r="E530" s="14" t="s">
        <v>528</v>
      </c>
      <c r="F530" s="19">
        <v>5</v>
      </c>
      <c r="G530" s="13" t="s">
        <v>121</v>
      </c>
      <c r="H530" s="15">
        <v>55</v>
      </c>
    </row>
    <row r="531" spans="5:8" x14ac:dyDescent="0.4">
      <c r="E531" s="14" t="s">
        <v>529</v>
      </c>
      <c r="F531" s="19">
        <v>3</v>
      </c>
      <c r="G531" s="13" t="s">
        <v>121</v>
      </c>
      <c r="H531" s="15">
        <v>55</v>
      </c>
    </row>
    <row r="532" spans="5:8" x14ac:dyDescent="0.4">
      <c r="E532" s="14" t="s">
        <v>530</v>
      </c>
      <c r="F532" s="19">
        <v>2</v>
      </c>
      <c r="G532" s="13" t="s">
        <v>121</v>
      </c>
      <c r="H532" s="15">
        <v>55</v>
      </c>
    </row>
    <row r="533" spans="5:8" x14ac:dyDescent="0.4">
      <c r="E533" s="14" t="s">
        <v>531</v>
      </c>
      <c r="F533" s="19">
        <v>3</v>
      </c>
      <c r="G533" s="13" t="s">
        <v>121</v>
      </c>
      <c r="H533" s="15">
        <v>55</v>
      </c>
    </row>
    <row r="534" spans="5:8" x14ac:dyDescent="0.4">
      <c r="E534" s="14" t="s">
        <v>532</v>
      </c>
      <c r="F534" s="19">
        <v>4</v>
      </c>
      <c r="G534" s="13" t="s">
        <v>121</v>
      </c>
      <c r="H534" s="15">
        <v>55</v>
      </c>
    </row>
    <row r="535" spans="5:8" x14ac:dyDescent="0.4">
      <c r="E535" s="14" t="s">
        <v>533</v>
      </c>
      <c r="F535" s="19">
        <v>5</v>
      </c>
      <c r="G535" s="13" t="s">
        <v>121</v>
      </c>
      <c r="H535" s="15">
        <v>55</v>
      </c>
    </row>
    <row r="536" spans="5:8" x14ac:dyDescent="0.4">
      <c r="E536" s="14" t="s">
        <v>534</v>
      </c>
      <c r="F536" s="19">
        <v>6</v>
      </c>
      <c r="G536" s="13" t="s">
        <v>121</v>
      </c>
      <c r="H536" s="15">
        <v>55</v>
      </c>
    </row>
    <row r="537" spans="5:8" x14ac:dyDescent="0.4">
      <c r="E537" s="14" t="s">
        <v>315</v>
      </c>
      <c r="F537" s="19">
        <v>6</v>
      </c>
      <c r="G537" s="13" t="s">
        <v>121</v>
      </c>
      <c r="H537" s="15">
        <v>55</v>
      </c>
    </row>
    <row r="538" spans="5:8" x14ac:dyDescent="0.4">
      <c r="E538" s="14" t="s">
        <v>316</v>
      </c>
      <c r="F538" s="19">
        <v>5</v>
      </c>
      <c r="G538" s="13" t="s">
        <v>121</v>
      </c>
      <c r="H538" s="15">
        <v>55</v>
      </c>
    </row>
    <row r="539" spans="5:8" x14ac:dyDescent="0.4">
      <c r="E539" s="14" t="s">
        <v>317</v>
      </c>
      <c r="F539" s="19">
        <v>5</v>
      </c>
      <c r="G539" s="13" t="s">
        <v>121</v>
      </c>
      <c r="H539" s="15">
        <v>55</v>
      </c>
    </row>
    <row r="540" spans="5:8" x14ac:dyDescent="0.4">
      <c r="E540" s="14" t="s">
        <v>318</v>
      </c>
      <c r="F540" s="19">
        <v>3</v>
      </c>
      <c r="G540" s="13" t="s">
        <v>121</v>
      </c>
      <c r="H540" s="15">
        <v>55</v>
      </c>
    </row>
    <row r="541" spans="5:8" x14ac:dyDescent="0.4">
      <c r="E541" s="14" t="s">
        <v>319</v>
      </c>
      <c r="F541" s="19">
        <v>2</v>
      </c>
      <c r="G541" s="13" t="s">
        <v>121</v>
      </c>
      <c r="H541" s="15">
        <v>55</v>
      </c>
    </row>
    <row r="542" spans="5:8" x14ac:dyDescent="0.4">
      <c r="E542" s="14" t="s">
        <v>320</v>
      </c>
      <c r="F542" s="19">
        <v>2</v>
      </c>
      <c r="G542" s="13" t="s">
        <v>121</v>
      </c>
      <c r="H542" s="15">
        <v>55</v>
      </c>
    </row>
    <row r="543" spans="5:8" x14ac:dyDescent="0.4">
      <c r="E543" s="14" t="s">
        <v>321</v>
      </c>
      <c r="F543" s="19">
        <v>2</v>
      </c>
      <c r="G543" s="13" t="s">
        <v>121</v>
      </c>
      <c r="H543" s="15">
        <v>55</v>
      </c>
    </row>
    <row r="544" spans="5:8" x14ac:dyDescent="0.4">
      <c r="E544" s="14" t="s">
        <v>322</v>
      </c>
      <c r="F544" s="19">
        <v>2</v>
      </c>
      <c r="G544" s="13" t="s">
        <v>121</v>
      </c>
      <c r="H544" s="15">
        <v>55</v>
      </c>
    </row>
    <row r="545" spans="5:8" x14ac:dyDescent="0.4">
      <c r="E545" s="14" t="s">
        <v>323</v>
      </c>
      <c r="F545" s="19">
        <v>5</v>
      </c>
      <c r="G545" s="13" t="s">
        <v>121</v>
      </c>
      <c r="H545" s="15">
        <v>55</v>
      </c>
    </row>
    <row r="546" spans="5:8" x14ac:dyDescent="0.4">
      <c r="E546" s="14" t="s">
        <v>324</v>
      </c>
      <c r="F546" s="19">
        <v>6</v>
      </c>
      <c r="G546" s="13" t="s">
        <v>121</v>
      </c>
      <c r="H546" s="15">
        <v>55</v>
      </c>
    </row>
    <row r="547" spans="5:8" x14ac:dyDescent="0.4">
      <c r="E547" s="14" t="s">
        <v>325</v>
      </c>
      <c r="F547" s="19">
        <v>2</v>
      </c>
      <c r="G547" s="13" t="s">
        <v>121</v>
      </c>
      <c r="H547" s="15">
        <v>55</v>
      </c>
    </row>
    <row r="548" spans="5:8" x14ac:dyDescent="0.4">
      <c r="E548" s="14" t="s">
        <v>326</v>
      </c>
      <c r="F548" s="19">
        <v>2</v>
      </c>
      <c r="G548" s="13" t="s">
        <v>121</v>
      </c>
      <c r="H548" s="15">
        <v>55</v>
      </c>
    </row>
    <row r="549" spans="5:8" x14ac:dyDescent="0.4">
      <c r="E549" s="14" t="s">
        <v>327</v>
      </c>
      <c r="F549" s="19">
        <v>4</v>
      </c>
      <c r="G549" s="13" t="s">
        <v>121</v>
      </c>
      <c r="H549" s="15">
        <v>55</v>
      </c>
    </row>
    <row r="550" spans="5:8" x14ac:dyDescent="0.4">
      <c r="E550" s="14" t="s">
        <v>328</v>
      </c>
      <c r="F550" s="19">
        <v>5</v>
      </c>
      <c r="G550" s="13" t="s">
        <v>121</v>
      </c>
      <c r="H550" s="15">
        <v>55</v>
      </c>
    </row>
    <row r="551" spans="5:8" x14ac:dyDescent="0.4">
      <c r="E551" s="14" t="s">
        <v>329</v>
      </c>
      <c r="F551" s="19">
        <v>6</v>
      </c>
      <c r="G551" s="13" t="s">
        <v>121</v>
      </c>
      <c r="H551" s="15">
        <v>55</v>
      </c>
    </row>
    <row r="552" spans="5:8" x14ac:dyDescent="0.4">
      <c r="E552" s="14" t="s">
        <v>330</v>
      </c>
      <c r="F552" s="19">
        <v>2</v>
      </c>
      <c r="G552" s="13" t="s">
        <v>121</v>
      </c>
      <c r="H552" s="15">
        <v>55</v>
      </c>
    </row>
    <row r="553" spans="5:8" x14ac:dyDescent="0.4">
      <c r="E553" s="14" t="s">
        <v>331</v>
      </c>
      <c r="F553" s="19">
        <v>2</v>
      </c>
      <c r="G553" s="13" t="s">
        <v>121</v>
      </c>
      <c r="H553" s="15">
        <v>55</v>
      </c>
    </row>
    <row r="554" spans="5:8" x14ac:dyDescent="0.4">
      <c r="F554" s="19">
        <f>SUM(F489:F553)</f>
        <v>225</v>
      </c>
    </row>
  </sheetData>
  <mergeCells count="8">
    <mergeCell ref="G51:G52"/>
    <mergeCell ref="E111:E112"/>
    <mergeCell ref="E113:E114"/>
    <mergeCell ref="A1:C1"/>
    <mergeCell ref="E115:E116"/>
    <mergeCell ref="E117:E118"/>
    <mergeCell ref="E119:E120"/>
    <mergeCell ref="F51:F52"/>
  </mergeCells>
  <phoneticPr fontId="1"/>
  <pageMargins left="0.7" right="0.7" top="0.75" bottom="0.75" header="0.3" footer="0.3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9EEF-6FF1-4197-8472-9F08E3719B08}">
  <dimension ref="A1:H5"/>
  <sheetViews>
    <sheetView workbookViewId="0">
      <selection activeCell="G5" sqref="G5"/>
    </sheetView>
  </sheetViews>
  <sheetFormatPr defaultColWidth="11.5546875" defaultRowHeight="12" x14ac:dyDescent="0.4"/>
  <cols>
    <col min="1" max="1" width="3.44140625" style="13" customWidth="1"/>
    <col min="2" max="2" width="23.44140625" style="13" customWidth="1"/>
    <col min="3" max="3" width="16.44140625" style="13" customWidth="1"/>
    <col min="4" max="4" width="24.109375" style="13" customWidth="1"/>
    <col min="5" max="5" width="13.77734375" style="13" customWidth="1"/>
    <col min="6" max="6" width="13.21875" style="19" customWidth="1"/>
    <col min="7" max="7" width="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535</v>
      </c>
      <c r="B1" s="95"/>
      <c r="C1" s="95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536</v>
      </c>
      <c r="D3" s="13" t="s">
        <v>537</v>
      </c>
      <c r="E3" s="13" t="s">
        <v>50</v>
      </c>
      <c r="F3" s="19" t="s">
        <v>51</v>
      </c>
      <c r="G3" s="13">
        <v>4</v>
      </c>
      <c r="H3" s="15">
        <v>54</v>
      </c>
    </row>
    <row r="4" spans="1:8" x14ac:dyDescent="0.4">
      <c r="A4" s="13">
        <v>2</v>
      </c>
      <c r="B4" s="13" t="s">
        <v>48</v>
      </c>
      <c r="D4" s="13" t="s">
        <v>538</v>
      </c>
      <c r="E4" s="13" t="s">
        <v>50</v>
      </c>
      <c r="F4" s="19" t="s">
        <v>336</v>
      </c>
      <c r="G4" s="13">
        <v>2</v>
      </c>
      <c r="H4" s="15">
        <v>54</v>
      </c>
    </row>
    <row r="5" spans="1:8" x14ac:dyDescent="0.4">
      <c r="G5" s="13">
        <f>SUM(G3:G4)</f>
        <v>6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CEF0-1B67-4B0C-A515-6DF04F291370}">
  <dimension ref="A1:H13"/>
  <sheetViews>
    <sheetView workbookViewId="0">
      <selection activeCell="G13" sqref="G13"/>
    </sheetView>
  </sheetViews>
  <sheetFormatPr defaultColWidth="11.5546875" defaultRowHeight="12" x14ac:dyDescent="0.4"/>
  <cols>
    <col min="1" max="1" width="3.44140625" style="13" customWidth="1"/>
    <col min="2" max="2" width="34" style="13" customWidth="1"/>
    <col min="3" max="3" width="16.44140625" style="13" customWidth="1"/>
    <col min="4" max="4" width="17.33203125" style="13" customWidth="1"/>
    <col min="5" max="5" width="13.77734375" style="13" customWidth="1"/>
    <col min="6" max="6" width="8.77734375" style="19" customWidth="1"/>
    <col min="7" max="7" width="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539</v>
      </c>
      <c r="B1" s="95"/>
      <c r="C1" s="95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s="18" customFormat="1" x14ac:dyDescent="0.4">
      <c r="A3" s="16">
        <v>1</v>
      </c>
      <c r="B3" s="16" t="s">
        <v>60</v>
      </c>
      <c r="C3" s="16" t="s">
        <v>61</v>
      </c>
      <c r="D3" s="16" t="s">
        <v>540</v>
      </c>
      <c r="E3" s="46" t="s">
        <v>50</v>
      </c>
      <c r="F3" s="46" t="s">
        <v>294</v>
      </c>
      <c r="G3" s="16">
        <v>9</v>
      </c>
      <c r="H3" s="18">
        <v>54</v>
      </c>
    </row>
    <row r="4" spans="1:8" x14ac:dyDescent="0.4">
      <c r="A4" s="13">
        <v>2</v>
      </c>
      <c r="B4" s="13" t="s">
        <v>541</v>
      </c>
      <c r="C4" s="13" t="s">
        <v>64</v>
      </c>
      <c r="D4" s="13" t="s">
        <v>540</v>
      </c>
      <c r="E4" s="30">
        <f>DATE(1994,12,30)</f>
        <v>34698</v>
      </c>
      <c r="F4" s="19" t="s">
        <v>51</v>
      </c>
      <c r="G4" s="13">
        <v>15</v>
      </c>
      <c r="H4" s="15">
        <v>54</v>
      </c>
    </row>
    <row r="5" spans="1:8" s="18" customFormat="1" x14ac:dyDescent="0.4">
      <c r="A5" s="16">
        <v>3</v>
      </c>
      <c r="B5" s="16" t="s">
        <v>67</v>
      </c>
      <c r="C5" s="16" t="s">
        <v>64</v>
      </c>
      <c r="D5" s="16" t="s">
        <v>540</v>
      </c>
      <c r="E5" s="31">
        <f>DATE(1996,2,12)</f>
        <v>35107</v>
      </c>
      <c r="F5" s="46" t="s">
        <v>51</v>
      </c>
      <c r="G5" s="16">
        <v>23</v>
      </c>
      <c r="H5" s="18">
        <v>54</v>
      </c>
    </row>
    <row r="6" spans="1:8" s="18" customFormat="1" x14ac:dyDescent="0.4">
      <c r="A6" s="16"/>
      <c r="B6" s="16"/>
      <c r="C6" s="16"/>
      <c r="D6" s="16"/>
      <c r="E6" s="31"/>
      <c r="F6" s="46" t="s">
        <v>51</v>
      </c>
      <c r="G6" s="16">
        <v>48</v>
      </c>
      <c r="H6" s="18">
        <v>54</v>
      </c>
    </row>
    <row r="7" spans="1:8" x14ac:dyDescent="0.4">
      <c r="A7" s="13">
        <v>4</v>
      </c>
      <c r="B7" s="13" t="s">
        <v>542</v>
      </c>
      <c r="D7" s="13" t="s">
        <v>540</v>
      </c>
      <c r="E7" s="30">
        <f>DATE(1995,1,2)</f>
        <v>34701</v>
      </c>
      <c r="F7" s="19" t="s">
        <v>51</v>
      </c>
      <c r="G7" s="13">
        <v>4</v>
      </c>
      <c r="H7" s="15">
        <v>54</v>
      </c>
    </row>
    <row r="8" spans="1:8" s="18" customFormat="1" x14ac:dyDescent="0.4">
      <c r="A8" s="16">
        <v>5</v>
      </c>
      <c r="B8" s="16" t="s">
        <v>68</v>
      </c>
      <c r="C8" s="16" t="s">
        <v>543</v>
      </c>
      <c r="D8" s="16" t="s">
        <v>540</v>
      </c>
      <c r="E8" s="31">
        <f>DATE(1997,3,15)</f>
        <v>35504</v>
      </c>
      <c r="F8" s="46" t="s">
        <v>51</v>
      </c>
      <c r="G8" s="16">
        <v>14</v>
      </c>
      <c r="H8" s="18">
        <v>54</v>
      </c>
    </row>
    <row r="9" spans="1:8" x14ac:dyDescent="0.4">
      <c r="A9" s="13">
        <v>6</v>
      </c>
      <c r="B9" s="13" t="s">
        <v>240</v>
      </c>
      <c r="C9" s="13" t="s">
        <v>543</v>
      </c>
      <c r="D9" s="13" t="s">
        <v>540</v>
      </c>
      <c r="E9" s="30">
        <f>DATE(1998,3,12)</f>
        <v>35866</v>
      </c>
      <c r="F9" s="19" t="s">
        <v>51</v>
      </c>
      <c r="G9" s="13">
        <v>10</v>
      </c>
      <c r="H9" s="15">
        <v>54</v>
      </c>
    </row>
    <row r="10" spans="1:8" x14ac:dyDescent="0.4">
      <c r="E10" s="30"/>
      <c r="F10" s="19" t="s">
        <v>51</v>
      </c>
      <c r="G10" s="13">
        <v>23</v>
      </c>
      <c r="H10" s="15">
        <v>54</v>
      </c>
    </row>
    <row r="11" spans="1:8" s="18" customFormat="1" x14ac:dyDescent="0.4">
      <c r="A11" s="16">
        <v>7</v>
      </c>
      <c r="B11" s="16" t="s">
        <v>544</v>
      </c>
      <c r="C11" s="16"/>
      <c r="D11" s="16"/>
      <c r="E11" s="31"/>
      <c r="F11" s="46" t="s">
        <v>51</v>
      </c>
      <c r="G11" s="16">
        <v>18</v>
      </c>
      <c r="H11" s="18">
        <v>54</v>
      </c>
    </row>
    <row r="12" spans="1:8" x14ac:dyDescent="0.4">
      <c r="A12" s="13">
        <v>8</v>
      </c>
      <c r="B12" s="13" t="s">
        <v>545</v>
      </c>
      <c r="E12" s="30"/>
      <c r="F12" s="19" t="s">
        <v>51</v>
      </c>
      <c r="G12" s="13">
        <v>4</v>
      </c>
      <c r="H12" s="15">
        <v>54</v>
      </c>
    </row>
    <row r="13" spans="1:8" x14ac:dyDescent="0.4">
      <c r="G13" s="13">
        <f>SUM(G3:G12)</f>
        <v>168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F2B42-B959-478E-858D-7D33ADB652B8}">
  <dimension ref="A1:H8"/>
  <sheetViews>
    <sheetView workbookViewId="0">
      <selection activeCell="G8" sqref="G8"/>
    </sheetView>
  </sheetViews>
  <sheetFormatPr defaultColWidth="11.5546875" defaultRowHeight="12" x14ac:dyDescent="0.4"/>
  <cols>
    <col min="1" max="1" width="3.33203125" style="13" customWidth="1"/>
    <col min="2" max="2" width="21.6640625" style="13" customWidth="1"/>
    <col min="3" max="3" width="15.88671875" style="13" customWidth="1"/>
    <col min="4" max="4" width="15.5546875" style="13" customWidth="1"/>
    <col min="5" max="5" width="14.6640625" style="13" customWidth="1"/>
    <col min="6" max="6" width="8.109375" style="19" customWidth="1"/>
    <col min="7" max="7" width="4.3320312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546</v>
      </c>
      <c r="B1" s="95"/>
      <c r="C1" s="95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391</v>
      </c>
      <c r="D3" s="13" t="s">
        <v>547</v>
      </c>
      <c r="E3" s="30">
        <f>DATE(1976,9,14)</f>
        <v>28017</v>
      </c>
      <c r="F3" s="19" t="s">
        <v>51</v>
      </c>
      <c r="G3" s="13">
        <v>2</v>
      </c>
      <c r="H3" s="15">
        <v>54</v>
      </c>
    </row>
    <row r="4" spans="1:8" s="18" customFormat="1" x14ac:dyDescent="0.4">
      <c r="A4" s="16">
        <v>2</v>
      </c>
      <c r="B4" s="16" t="s">
        <v>548</v>
      </c>
      <c r="C4" s="16" t="s">
        <v>152</v>
      </c>
      <c r="D4" s="16" t="s">
        <v>549</v>
      </c>
      <c r="E4" s="31">
        <f>DATE(1983,4,9)</f>
        <v>30415</v>
      </c>
      <c r="F4" s="46" t="s">
        <v>51</v>
      </c>
      <c r="G4" s="16">
        <v>3</v>
      </c>
      <c r="H4" s="18">
        <v>54</v>
      </c>
    </row>
    <row r="5" spans="1:8" x14ac:dyDescent="0.4">
      <c r="A5" s="13">
        <v>3</v>
      </c>
      <c r="B5" s="13" t="s">
        <v>550</v>
      </c>
      <c r="C5" s="13" t="s">
        <v>61</v>
      </c>
      <c r="D5" s="13" t="s">
        <v>549</v>
      </c>
      <c r="E5" s="30">
        <f>DATE(1987,2,8)</f>
        <v>31816</v>
      </c>
      <c r="F5" s="19" t="s">
        <v>51</v>
      </c>
      <c r="G5" s="13">
        <v>4</v>
      </c>
      <c r="H5" s="15">
        <v>54</v>
      </c>
    </row>
    <row r="6" spans="1:8" s="18" customFormat="1" x14ac:dyDescent="0.4">
      <c r="A6" s="16">
        <v>4</v>
      </c>
      <c r="B6" s="16" t="s">
        <v>551</v>
      </c>
      <c r="C6" s="16" t="s">
        <v>61</v>
      </c>
      <c r="D6" s="16" t="s">
        <v>549</v>
      </c>
      <c r="E6" s="31">
        <f>DATE(1988,2,20)</f>
        <v>32193</v>
      </c>
      <c r="F6" s="46" t="s">
        <v>51</v>
      </c>
      <c r="G6" s="16">
        <v>3</v>
      </c>
      <c r="H6" s="18">
        <v>54</v>
      </c>
    </row>
    <row r="7" spans="1:8" x14ac:dyDescent="0.4">
      <c r="A7" s="13">
        <v>5</v>
      </c>
      <c r="B7" s="13" t="s">
        <v>48</v>
      </c>
      <c r="D7" s="13" t="s">
        <v>547</v>
      </c>
      <c r="E7" s="19" t="s">
        <v>50</v>
      </c>
      <c r="F7" s="19" t="s">
        <v>51</v>
      </c>
      <c r="G7" s="13">
        <v>6</v>
      </c>
      <c r="H7" s="15">
        <v>54</v>
      </c>
    </row>
    <row r="8" spans="1:8" x14ac:dyDescent="0.4">
      <c r="G8" s="13">
        <f>SUM(G3:G7)</f>
        <v>18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8592C-1715-4F39-ABA9-1D6AD81EBEC9}">
  <dimension ref="A1:H13"/>
  <sheetViews>
    <sheetView workbookViewId="0">
      <selection activeCell="G13" sqref="G13"/>
    </sheetView>
  </sheetViews>
  <sheetFormatPr defaultColWidth="11.5546875" defaultRowHeight="12" x14ac:dyDescent="0.4"/>
  <cols>
    <col min="1" max="1" width="3" style="13" customWidth="1"/>
    <col min="2" max="2" width="32.33203125" style="13" customWidth="1"/>
    <col min="3" max="3" width="17.77734375" style="13" customWidth="1"/>
    <col min="4" max="4" width="18" style="13" customWidth="1"/>
    <col min="5" max="5" width="14.77734375" style="19" customWidth="1"/>
    <col min="6" max="6" width="7.77734375" style="19" customWidth="1"/>
    <col min="7" max="7" width="5.21875" style="13" customWidth="1"/>
    <col min="8" max="8" width="4.21875" style="15" customWidth="1"/>
    <col min="9" max="16384" width="11.5546875" style="15"/>
  </cols>
  <sheetData>
    <row r="1" spans="1:8" s="21" customFormat="1" x14ac:dyDescent="0.4">
      <c r="A1" s="95" t="s">
        <v>552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C3" s="13" t="s">
        <v>64</v>
      </c>
      <c r="D3" s="13" t="s">
        <v>553</v>
      </c>
      <c r="E3" s="14" t="s">
        <v>50</v>
      </c>
      <c r="F3" s="19" t="s">
        <v>51</v>
      </c>
      <c r="G3" s="13">
        <v>16</v>
      </c>
      <c r="H3" s="15">
        <v>54</v>
      </c>
    </row>
    <row r="4" spans="1:8" s="18" customFormat="1" x14ac:dyDescent="0.4">
      <c r="A4" s="16">
        <v>2</v>
      </c>
      <c r="B4" s="16" t="s">
        <v>55</v>
      </c>
      <c r="C4" s="16" t="s">
        <v>64</v>
      </c>
      <c r="D4" s="16" t="s">
        <v>553</v>
      </c>
      <c r="E4" s="17" t="s">
        <v>50</v>
      </c>
      <c r="F4" s="46" t="s">
        <v>51</v>
      </c>
      <c r="G4" s="16">
        <v>7</v>
      </c>
      <c r="H4" s="18">
        <v>54</v>
      </c>
    </row>
    <row r="5" spans="1:8" x14ac:dyDescent="0.4">
      <c r="A5" s="13">
        <v>3</v>
      </c>
      <c r="B5" s="13" t="s">
        <v>56</v>
      </c>
      <c r="C5" s="13" t="s">
        <v>64</v>
      </c>
      <c r="D5" s="13" t="s">
        <v>553</v>
      </c>
      <c r="E5" s="14">
        <f>DATE(1994,9,13)</f>
        <v>34590</v>
      </c>
      <c r="F5" s="19" t="s">
        <v>51</v>
      </c>
      <c r="G5" s="13">
        <v>18</v>
      </c>
      <c r="H5" s="15">
        <v>54</v>
      </c>
    </row>
    <row r="6" spans="1:8" s="18" customFormat="1" x14ac:dyDescent="0.4">
      <c r="A6" s="16">
        <v>4</v>
      </c>
      <c r="B6" s="16" t="s">
        <v>67</v>
      </c>
      <c r="C6" s="16" t="s">
        <v>64</v>
      </c>
      <c r="D6" s="16" t="s">
        <v>553</v>
      </c>
      <c r="E6" s="17">
        <f>DATE(1996,2,25)</f>
        <v>35120</v>
      </c>
      <c r="F6" s="46" t="s">
        <v>51</v>
      </c>
      <c r="G6" s="16">
        <v>9</v>
      </c>
      <c r="H6" s="18">
        <v>54</v>
      </c>
    </row>
    <row r="7" spans="1:8" x14ac:dyDescent="0.4">
      <c r="A7" s="13">
        <v>5</v>
      </c>
      <c r="B7" s="13" t="s">
        <v>68</v>
      </c>
      <c r="C7" s="13" t="s">
        <v>64</v>
      </c>
      <c r="D7" s="15" t="s">
        <v>554</v>
      </c>
      <c r="E7" s="14">
        <f>DATE(1997,2,27)</f>
        <v>35488</v>
      </c>
      <c r="F7" s="19" t="s">
        <v>51</v>
      </c>
      <c r="G7" s="13">
        <v>22</v>
      </c>
      <c r="H7" s="15">
        <v>54</v>
      </c>
    </row>
    <row r="8" spans="1:8" s="18" customFormat="1" x14ac:dyDescent="0.4">
      <c r="A8" s="16">
        <v>6</v>
      </c>
      <c r="B8" s="16" t="s">
        <v>555</v>
      </c>
      <c r="C8" s="16" t="s">
        <v>556</v>
      </c>
      <c r="D8" s="16" t="s">
        <v>557</v>
      </c>
      <c r="E8" s="17">
        <f>DATE(1995,11,29)</f>
        <v>35032</v>
      </c>
      <c r="F8" s="46" t="s">
        <v>51</v>
      </c>
      <c r="G8" s="16">
        <v>16</v>
      </c>
      <c r="H8" s="18">
        <v>54</v>
      </c>
    </row>
    <row r="9" spans="1:8" x14ac:dyDescent="0.4">
      <c r="A9" s="13">
        <v>7</v>
      </c>
      <c r="B9" s="13" t="s">
        <v>558</v>
      </c>
      <c r="C9" s="13" t="s">
        <v>559</v>
      </c>
      <c r="D9" s="15" t="s">
        <v>560</v>
      </c>
      <c r="E9" s="14">
        <f>DATE(1995,12,21)</f>
        <v>35054</v>
      </c>
      <c r="F9" s="19" t="s">
        <v>51</v>
      </c>
      <c r="G9" s="13">
        <v>4</v>
      </c>
      <c r="H9" s="15">
        <v>54</v>
      </c>
    </row>
    <row r="10" spans="1:8" s="18" customFormat="1" x14ac:dyDescent="0.4">
      <c r="A10" s="16">
        <v>8</v>
      </c>
      <c r="B10" s="16" t="s">
        <v>561</v>
      </c>
      <c r="C10" s="16" t="s">
        <v>562</v>
      </c>
      <c r="D10" s="16" t="s">
        <v>563</v>
      </c>
      <c r="E10" s="17">
        <f>DATE(1990,2,14)</f>
        <v>32918</v>
      </c>
      <c r="F10" s="46" t="s">
        <v>51</v>
      </c>
      <c r="G10" s="16">
        <v>73</v>
      </c>
      <c r="H10" s="18">
        <v>54</v>
      </c>
    </row>
    <row r="11" spans="1:8" x14ac:dyDescent="0.4">
      <c r="A11" s="13">
        <v>9</v>
      </c>
      <c r="B11" s="13" t="s">
        <v>564</v>
      </c>
      <c r="D11" s="15" t="s">
        <v>565</v>
      </c>
      <c r="E11" s="14">
        <f>DATE(1995,5,25)</f>
        <v>34844</v>
      </c>
      <c r="F11" s="19" t="s">
        <v>51</v>
      </c>
      <c r="G11" s="13">
        <v>8</v>
      </c>
      <c r="H11" s="15">
        <v>54</v>
      </c>
    </row>
    <row r="12" spans="1:8" s="18" customFormat="1" x14ac:dyDescent="0.4">
      <c r="A12" s="16">
        <v>10</v>
      </c>
      <c r="B12" s="16" t="s">
        <v>83</v>
      </c>
      <c r="C12" s="16"/>
      <c r="D12" s="16" t="s">
        <v>566</v>
      </c>
      <c r="E12" s="17" t="s">
        <v>50</v>
      </c>
      <c r="F12" s="46" t="s">
        <v>51</v>
      </c>
      <c r="G12" s="16">
        <v>4</v>
      </c>
      <c r="H12" s="18">
        <v>54</v>
      </c>
    </row>
    <row r="13" spans="1:8" x14ac:dyDescent="0.4">
      <c r="G13" s="13">
        <f>SUM(G3:G12)</f>
        <v>177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7988F-618E-4FB1-977B-C86C03868428}">
  <dimension ref="A1:H63"/>
  <sheetViews>
    <sheetView topLeftCell="A57" workbookViewId="0">
      <selection activeCell="G63" sqref="G63"/>
    </sheetView>
  </sheetViews>
  <sheetFormatPr defaultColWidth="11.5546875" defaultRowHeight="12" x14ac:dyDescent="0.4"/>
  <cols>
    <col min="1" max="1" width="4.5546875" style="13" customWidth="1"/>
    <col min="2" max="2" width="24.88671875" style="13" customWidth="1"/>
    <col min="3" max="3" width="16.77734375" style="13" customWidth="1"/>
    <col min="4" max="4" width="26.5546875" style="13" customWidth="1"/>
    <col min="5" max="5" width="16.77734375" style="14" customWidth="1"/>
    <col min="6" max="6" width="8" style="19" customWidth="1"/>
    <col min="7" max="7" width="4.3320312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567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5">
        <v>1</v>
      </c>
      <c r="B3" s="15" t="s">
        <v>112</v>
      </c>
      <c r="C3" s="15"/>
      <c r="D3" s="15" t="s">
        <v>568</v>
      </c>
      <c r="E3" s="24">
        <f>DATE(1998,8,1)</f>
        <v>36008</v>
      </c>
      <c r="F3" s="29" t="s">
        <v>51</v>
      </c>
      <c r="G3" s="15">
        <v>2</v>
      </c>
      <c r="H3" s="15">
        <v>57</v>
      </c>
    </row>
    <row r="4" spans="1:8" x14ac:dyDescent="0.4">
      <c r="A4" s="15"/>
      <c r="B4" s="15"/>
      <c r="C4" s="15"/>
      <c r="D4" s="15"/>
      <c r="E4" s="24">
        <f>DATE(1998,8,2)</f>
        <v>36009</v>
      </c>
      <c r="F4" s="29" t="s">
        <v>51</v>
      </c>
      <c r="G4" s="15">
        <v>2</v>
      </c>
      <c r="H4" s="15">
        <v>57</v>
      </c>
    </row>
    <row r="5" spans="1:8" x14ac:dyDescent="0.4">
      <c r="A5" s="15"/>
      <c r="B5" s="15"/>
      <c r="C5" s="15"/>
      <c r="D5" s="15"/>
      <c r="E5" s="24">
        <f>DATE(1998,8,3)</f>
        <v>36010</v>
      </c>
      <c r="F5" s="29" t="s">
        <v>51</v>
      </c>
      <c r="G5" s="15">
        <v>2</v>
      </c>
      <c r="H5" s="15">
        <v>57</v>
      </c>
    </row>
    <row r="6" spans="1:8" x14ac:dyDescent="0.4">
      <c r="A6" s="15"/>
      <c r="B6" s="15"/>
      <c r="C6" s="15"/>
      <c r="D6" s="15"/>
      <c r="E6" s="24">
        <f>DATE(1998,8,4)</f>
        <v>36011</v>
      </c>
      <c r="F6" s="29" t="s">
        <v>51</v>
      </c>
      <c r="G6" s="15">
        <v>2</v>
      </c>
      <c r="H6" s="15">
        <v>57</v>
      </c>
    </row>
    <row r="7" spans="1:8" x14ac:dyDescent="0.4">
      <c r="A7" s="15"/>
      <c r="B7" s="15"/>
      <c r="C7" s="15"/>
      <c r="D7" s="15"/>
      <c r="E7" s="24">
        <f>DATE(1998,8,5)</f>
        <v>36012</v>
      </c>
      <c r="F7" s="29" t="s">
        <v>51</v>
      </c>
      <c r="G7" s="15">
        <v>2</v>
      </c>
      <c r="H7" s="15">
        <v>57</v>
      </c>
    </row>
    <row r="8" spans="1:8" x14ac:dyDescent="0.4">
      <c r="A8" s="15"/>
      <c r="B8" s="15"/>
      <c r="C8" s="15"/>
      <c r="D8" s="15"/>
      <c r="E8" s="24">
        <f>DATE(1998,8,6)</f>
        <v>36013</v>
      </c>
      <c r="F8" s="29" t="s">
        <v>51</v>
      </c>
      <c r="G8" s="15">
        <v>2</v>
      </c>
      <c r="H8" s="15">
        <v>57</v>
      </c>
    </row>
    <row r="9" spans="1:8" x14ac:dyDescent="0.4">
      <c r="A9" s="15"/>
      <c r="B9" s="15"/>
      <c r="C9" s="15"/>
      <c r="D9" s="15"/>
      <c r="E9" s="24">
        <f>DATE(1998,8,7)</f>
        <v>36014</v>
      </c>
      <c r="F9" s="29" t="s">
        <v>51</v>
      </c>
      <c r="G9" s="15">
        <v>3</v>
      </c>
      <c r="H9" s="15">
        <v>57</v>
      </c>
    </row>
    <row r="10" spans="1:8" x14ac:dyDescent="0.4">
      <c r="A10" s="15"/>
      <c r="B10" s="15"/>
      <c r="C10" s="15"/>
      <c r="D10" s="15"/>
      <c r="E10" s="24">
        <f>DATE(1998,8,8)</f>
        <v>36015</v>
      </c>
      <c r="F10" s="29" t="s">
        <v>51</v>
      </c>
      <c r="G10" s="15">
        <v>2</v>
      </c>
      <c r="H10" s="15">
        <v>57</v>
      </c>
    </row>
    <row r="11" spans="1:8" x14ac:dyDescent="0.4">
      <c r="A11" s="15"/>
      <c r="B11" s="15"/>
      <c r="C11" s="15"/>
      <c r="D11" s="15"/>
      <c r="E11" s="24">
        <f>DATE(1998,8,9)</f>
        <v>36016</v>
      </c>
      <c r="F11" s="29" t="s">
        <v>51</v>
      </c>
      <c r="G11" s="15">
        <v>2</v>
      </c>
      <c r="H11" s="15">
        <v>57</v>
      </c>
    </row>
    <row r="12" spans="1:8" x14ac:dyDescent="0.4">
      <c r="A12" s="15"/>
      <c r="B12" s="15"/>
      <c r="C12" s="15"/>
      <c r="D12" s="15"/>
      <c r="E12" s="24">
        <f>DATE(1998,8,10)</f>
        <v>36017</v>
      </c>
      <c r="F12" s="29" t="s">
        <v>51</v>
      </c>
      <c r="G12" s="15">
        <v>3</v>
      </c>
      <c r="H12" s="15">
        <v>57</v>
      </c>
    </row>
    <row r="13" spans="1:8" x14ac:dyDescent="0.4">
      <c r="A13" s="15"/>
      <c r="B13" s="15"/>
      <c r="C13" s="15"/>
      <c r="D13" s="15"/>
      <c r="E13" s="24">
        <f>DATE(1998,8,11)</f>
        <v>36018</v>
      </c>
      <c r="F13" s="29" t="s">
        <v>51</v>
      </c>
      <c r="G13" s="15">
        <v>2</v>
      </c>
      <c r="H13" s="15">
        <v>57</v>
      </c>
    </row>
    <row r="14" spans="1:8" x14ac:dyDescent="0.4">
      <c r="A14" s="15"/>
      <c r="B14" s="15"/>
      <c r="C14" s="15"/>
      <c r="D14" s="15"/>
      <c r="E14" s="24">
        <f>DATE(1998,8,12)</f>
        <v>36019</v>
      </c>
      <c r="F14" s="29" t="s">
        <v>51</v>
      </c>
      <c r="G14" s="15">
        <v>2</v>
      </c>
      <c r="H14" s="15">
        <v>57</v>
      </c>
    </row>
    <row r="15" spans="1:8" x14ac:dyDescent="0.4">
      <c r="A15" s="15"/>
      <c r="B15" s="15"/>
      <c r="C15" s="15"/>
      <c r="D15" s="15"/>
      <c r="E15" s="24">
        <f>DATE(1998,8,13)</f>
        <v>36020</v>
      </c>
      <c r="F15" s="29" t="s">
        <v>51</v>
      </c>
      <c r="G15" s="15">
        <v>2</v>
      </c>
      <c r="H15" s="15">
        <v>57</v>
      </c>
    </row>
    <row r="16" spans="1:8" x14ac:dyDescent="0.4">
      <c r="A16" s="15"/>
      <c r="B16" s="15"/>
      <c r="C16" s="15"/>
      <c r="D16" s="15"/>
      <c r="E16" s="24">
        <f>DATE(1998,8,14)</f>
        <v>36021</v>
      </c>
      <c r="F16" s="29" t="s">
        <v>51</v>
      </c>
      <c r="G16" s="15">
        <v>2</v>
      </c>
      <c r="H16" s="15">
        <v>57</v>
      </c>
    </row>
    <row r="17" spans="1:8" x14ac:dyDescent="0.4">
      <c r="A17" s="15"/>
      <c r="B17" s="15"/>
      <c r="C17" s="15"/>
      <c r="D17" s="15"/>
      <c r="E17" s="24">
        <f>DATE(1998,8,15)</f>
        <v>36022</v>
      </c>
      <c r="F17" s="29" t="s">
        <v>51</v>
      </c>
      <c r="G17" s="15">
        <v>2</v>
      </c>
      <c r="H17" s="15">
        <v>57</v>
      </c>
    </row>
    <row r="18" spans="1:8" x14ac:dyDescent="0.4">
      <c r="A18" s="15"/>
      <c r="B18" s="15"/>
      <c r="C18" s="15"/>
      <c r="D18" s="15"/>
      <c r="E18" s="24">
        <f>DATE(1998,8,16)</f>
        <v>36023</v>
      </c>
      <c r="F18" s="29" t="s">
        <v>51</v>
      </c>
      <c r="G18" s="15">
        <v>2</v>
      </c>
      <c r="H18" s="15">
        <v>57</v>
      </c>
    </row>
    <row r="19" spans="1:8" x14ac:dyDescent="0.4">
      <c r="A19" s="15"/>
      <c r="B19" s="15"/>
      <c r="C19" s="15"/>
      <c r="D19" s="15"/>
      <c r="E19" s="24">
        <f>DATE(1998,8,17)</f>
        <v>36024</v>
      </c>
      <c r="F19" s="29" t="s">
        <v>51</v>
      </c>
      <c r="G19" s="15">
        <v>3</v>
      </c>
      <c r="H19" s="15">
        <v>57</v>
      </c>
    </row>
    <row r="20" spans="1:8" x14ac:dyDescent="0.4">
      <c r="A20" s="15"/>
      <c r="B20" s="15"/>
      <c r="C20" s="15"/>
      <c r="D20" s="15"/>
      <c r="E20" s="24">
        <f>DATE(1998,8,18)</f>
        <v>36025</v>
      </c>
      <c r="F20" s="29" t="s">
        <v>51</v>
      </c>
      <c r="G20" s="15">
        <v>2</v>
      </c>
      <c r="H20" s="15">
        <v>57</v>
      </c>
    </row>
    <row r="21" spans="1:8" x14ac:dyDescent="0.4">
      <c r="A21" s="15"/>
      <c r="B21" s="15"/>
      <c r="C21" s="15"/>
      <c r="D21" s="15"/>
      <c r="E21" s="24">
        <f>DATE(1998,8,19)</f>
        <v>36026</v>
      </c>
      <c r="F21" s="29" t="s">
        <v>51</v>
      </c>
      <c r="G21" s="15">
        <v>2</v>
      </c>
      <c r="H21" s="15">
        <v>57</v>
      </c>
    </row>
    <row r="22" spans="1:8" x14ac:dyDescent="0.4">
      <c r="A22" s="15"/>
      <c r="B22" s="15"/>
      <c r="C22" s="15"/>
      <c r="D22" s="15"/>
      <c r="E22" s="24">
        <f>DATE(1998,8,20)</f>
        <v>36027</v>
      </c>
      <c r="F22" s="29" t="s">
        <v>51</v>
      </c>
      <c r="G22" s="15">
        <v>2</v>
      </c>
      <c r="H22" s="15">
        <v>57</v>
      </c>
    </row>
    <row r="23" spans="1:8" x14ac:dyDescent="0.4">
      <c r="A23" s="15"/>
      <c r="B23" s="15"/>
      <c r="C23" s="15"/>
      <c r="D23" s="15"/>
      <c r="E23" s="24">
        <f>DATE(1998,8,22)</f>
        <v>36029</v>
      </c>
      <c r="F23" s="29" t="s">
        <v>51</v>
      </c>
      <c r="G23" s="15">
        <v>2</v>
      </c>
      <c r="H23" s="15">
        <v>57</v>
      </c>
    </row>
    <row r="24" spans="1:8" x14ac:dyDescent="0.4">
      <c r="A24" s="15"/>
      <c r="B24" s="15"/>
      <c r="C24" s="15"/>
      <c r="D24" s="15"/>
      <c r="E24" s="24">
        <f>DATE(1998,8,23)</f>
        <v>36030</v>
      </c>
      <c r="F24" s="29" t="s">
        <v>51</v>
      </c>
      <c r="G24" s="15">
        <v>2</v>
      </c>
      <c r="H24" s="15">
        <v>57</v>
      </c>
    </row>
    <row r="25" spans="1:8" x14ac:dyDescent="0.4">
      <c r="A25" s="15"/>
      <c r="B25" s="15"/>
      <c r="C25" s="15"/>
      <c r="D25" s="15"/>
      <c r="E25" s="24">
        <f>DATE(1998,8,24)</f>
        <v>36031</v>
      </c>
      <c r="F25" s="29" t="s">
        <v>51</v>
      </c>
      <c r="G25" s="15">
        <v>2</v>
      </c>
      <c r="H25" s="15">
        <v>57</v>
      </c>
    </row>
    <row r="26" spans="1:8" x14ac:dyDescent="0.4">
      <c r="A26" s="15"/>
      <c r="B26" s="15"/>
      <c r="C26" s="15"/>
      <c r="D26" s="15"/>
      <c r="E26" s="24">
        <f>DATE(1998,8,25)</f>
        <v>36032</v>
      </c>
      <c r="F26" s="29" t="s">
        <v>51</v>
      </c>
      <c r="G26" s="15">
        <v>2</v>
      </c>
      <c r="H26" s="15">
        <v>57</v>
      </c>
    </row>
    <row r="27" spans="1:8" x14ac:dyDescent="0.4">
      <c r="A27" s="15"/>
      <c r="B27" s="15"/>
      <c r="C27" s="15"/>
      <c r="D27" s="15"/>
      <c r="E27" s="24">
        <f>DATE(1998,8,26)</f>
        <v>36033</v>
      </c>
      <c r="F27" s="29" t="s">
        <v>51</v>
      </c>
      <c r="G27" s="15">
        <v>2</v>
      </c>
      <c r="H27" s="15">
        <v>57</v>
      </c>
    </row>
    <row r="28" spans="1:8" x14ac:dyDescent="0.4">
      <c r="A28" s="15"/>
      <c r="B28" s="15"/>
      <c r="C28" s="15"/>
      <c r="D28" s="15"/>
      <c r="E28" s="24">
        <f>DATE(1998,8,27)</f>
        <v>36034</v>
      </c>
      <c r="F28" s="29" t="s">
        <v>51</v>
      </c>
      <c r="G28" s="15">
        <v>2</v>
      </c>
      <c r="H28" s="15">
        <v>57</v>
      </c>
    </row>
    <row r="29" spans="1:8" x14ac:dyDescent="0.4">
      <c r="A29" s="15"/>
      <c r="B29" s="15"/>
      <c r="C29" s="15"/>
      <c r="D29" s="15"/>
      <c r="E29" s="24">
        <f>DATE(1998,8,28)</f>
        <v>36035</v>
      </c>
      <c r="F29" s="29" t="s">
        <v>51</v>
      </c>
      <c r="G29" s="15">
        <v>3</v>
      </c>
      <c r="H29" s="15">
        <v>57</v>
      </c>
    </row>
    <row r="30" spans="1:8" x14ac:dyDescent="0.4">
      <c r="A30" s="15"/>
      <c r="B30" s="15"/>
      <c r="C30" s="15"/>
      <c r="D30" s="15"/>
      <c r="E30" s="24">
        <f>DATE(1998,8,29)</f>
        <v>36036</v>
      </c>
      <c r="F30" s="29" t="s">
        <v>51</v>
      </c>
      <c r="G30" s="15">
        <v>2</v>
      </c>
      <c r="H30" s="15">
        <v>57</v>
      </c>
    </row>
    <row r="31" spans="1:8" x14ac:dyDescent="0.4">
      <c r="A31" s="15"/>
      <c r="B31" s="15"/>
      <c r="C31" s="15"/>
      <c r="D31" s="15"/>
      <c r="E31" s="24">
        <f>DATE(1998,8,30)</f>
        <v>36037</v>
      </c>
      <c r="F31" s="29" t="s">
        <v>51</v>
      </c>
      <c r="G31" s="15">
        <v>2</v>
      </c>
      <c r="H31" s="15">
        <v>57</v>
      </c>
    </row>
    <row r="32" spans="1:8" x14ac:dyDescent="0.4">
      <c r="A32" s="15"/>
      <c r="B32" s="15"/>
      <c r="C32" s="15"/>
      <c r="D32" s="15"/>
      <c r="E32" s="24">
        <f>DATE(1998,8,31)</f>
        <v>36038</v>
      </c>
      <c r="F32" s="29" t="s">
        <v>51</v>
      </c>
      <c r="G32" s="15">
        <v>2</v>
      </c>
      <c r="H32" s="15">
        <v>57</v>
      </c>
    </row>
    <row r="33" spans="1:8" s="18" customFormat="1" x14ac:dyDescent="0.4">
      <c r="A33" s="16">
        <v>2</v>
      </c>
      <c r="B33" s="16" t="s">
        <v>112</v>
      </c>
      <c r="C33" s="16"/>
      <c r="D33" s="16"/>
      <c r="E33" s="17">
        <f>DATE(1998,9,1)</f>
        <v>36039</v>
      </c>
      <c r="F33" s="46" t="s">
        <v>51</v>
      </c>
      <c r="G33" s="16">
        <v>2</v>
      </c>
      <c r="H33" s="18">
        <v>57</v>
      </c>
    </row>
    <row r="34" spans="1:8" s="18" customFormat="1" x14ac:dyDescent="0.4">
      <c r="A34" s="16"/>
      <c r="B34" s="16"/>
      <c r="C34" s="16"/>
      <c r="D34" s="16"/>
      <c r="E34" s="17">
        <f>DATE(1998,9,2)</f>
        <v>36040</v>
      </c>
      <c r="F34" s="46" t="s">
        <v>51</v>
      </c>
      <c r="G34" s="16">
        <v>2</v>
      </c>
      <c r="H34" s="18">
        <v>57</v>
      </c>
    </row>
    <row r="35" spans="1:8" s="18" customFormat="1" x14ac:dyDescent="0.4">
      <c r="A35" s="16"/>
      <c r="B35" s="16"/>
      <c r="C35" s="16"/>
      <c r="D35" s="16"/>
      <c r="E35" s="17">
        <f>DATE(1998,9,3)</f>
        <v>36041</v>
      </c>
      <c r="F35" s="46" t="s">
        <v>51</v>
      </c>
      <c r="G35" s="16">
        <v>2</v>
      </c>
      <c r="H35" s="18">
        <v>57</v>
      </c>
    </row>
    <row r="36" spans="1:8" s="18" customFormat="1" x14ac:dyDescent="0.4">
      <c r="A36" s="16"/>
      <c r="B36" s="16"/>
      <c r="C36" s="16"/>
      <c r="D36" s="16"/>
      <c r="E36" s="17">
        <f>DATE(1998,9,4)</f>
        <v>36042</v>
      </c>
      <c r="F36" s="46" t="s">
        <v>51</v>
      </c>
      <c r="G36" s="16">
        <v>3</v>
      </c>
      <c r="H36" s="18">
        <v>57</v>
      </c>
    </row>
    <row r="37" spans="1:8" s="18" customFormat="1" x14ac:dyDescent="0.4">
      <c r="A37" s="16"/>
      <c r="B37" s="16"/>
      <c r="C37" s="16"/>
      <c r="D37" s="16"/>
      <c r="E37" s="17">
        <f>DATE(1998,9,5)</f>
        <v>36043</v>
      </c>
      <c r="F37" s="46" t="s">
        <v>51</v>
      </c>
      <c r="G37" s="16">
        <v>2</v>
      </c>
      <c r="H37" s="18">
        <v>57</v>
      </c>
    </row>
    <row r="38" spans="1:8" s="18" customFormat="1" x14ac:dyDescent="0.4">
      <c r="A38" s="16"/>
      <c r="B38" s="16"/>
      <c r="C38" s="16"/>
      <c r="D38" s="16"/>
      <c r="E38" s="17">
        <f>DATE(1998,9,6)</f>
        <v>36044</v>
      </c>
      <c r="F38" s="46" t="s">
        <v>51</v>
      </c>
      <c r="G38" s="16">
        <v>2</v>
      </c>
      <c r="H38" s="18">
        <v>57</v>
      </c>
    </row>
    <row r="39" spans="1:8" s="18" customFormat="1" x14ac:dyDescent="0.4">
      <c r="A39" s="16"/>
      <c r="B39" s="16"/>
      <c r="C39" s="16"/>
      <c r="D39" s="16"/>
      <c r="E39" s="17">
        <f>DATE(1998,9,7)</f>
        <v>36045</v>
      </c>
      <c r="F39" s="46" t="s">
        <v>51</v>
      </c>
      <c r="G39" s="16">
        <v>2</v>
      </c>
      <c r="H39" s="18">
        <v>57</v>
      </c>
    </row>
    <row r="40" spans="1:8" s="18" customFormat="1" x14ac:dyDescent="0.4">
      <c r="A40" s="16"/>
      <c r="B40" s="16"/>
      <c r="C40" s="16"/>
      <c r="D40" s="16"/>
      <c r="E40" s="17">
        <f>DATE(1998,9,8)</f>
        <v>36046</v>
      </c>
      <c r="F40" s="46" t="s">
        <v>51</v>
      </c>
      <c r="G40" s="16">
        <v>2</v>
      </c>
      <c r="H40" s="18">
        <v>57</v>
      </c>
    </row>
    <row r="41" spans="1:8" s="18" customFormat="1" x14ac:dyDescent="0.4">
      <c r="A41" s="16"/>
      <c r="B41" s="16"/>
      <c r="C41" s="16"/>
      <c r="D41" s="16"/>
      <c r="E41" s="17">
        <f>DATE(1998,9,9)</f>
        <v>36047</v>
      </c>
      <c r="F41" s="46" t="s">
        <v>51</v>
      </c>
      <c r="G41" s="16">
        <v>2</v>
      </c>
      <c r="H41" s="18">
        <v>57</v>
      </c>
    </row>
    <row r="42" spans="1:8" s="18" customFormat="1" x14ac:dyDescent="0.4">
      <c r="A42" s="16"/>
      <c r="B42" s="16"/>
      <c r="C42" s="16"/>
      <c r="D42" s="16"/>
      <c r="E42" s="17">
        <f>DATE(1998,9,10)</f>
        <v>36048</v>
      </c>
      <c r="F42" s="46" t="s">
        <v>51</v>
      </c>
      <c r="G42" s="16">
        <v>2</v>
      </c>
      <c r="H42" s="18">
        <v>57</v>
      </c>
    </row>
    <row r="43" spans="1:8" s="18" customFormat="1" x14ac:dyDescent="0.4">
      <c r="A43" s="16"/>
      <c r="B43" s="16"/>
      <c r="C43" s="16"/>
      <c r="D43" s="16"/>
      <c r="E43" s="17">
        <f>DATE(1998,9,11)</f>
        <v>36049</v>
      </c>
      <c r="F43" s="46" t="s">
        <v>51</v>
      </c>
      <c r="G43" s="16">
        <v>3</v>
      </c>
      <c r="H43" s="18">
        <v>57</v>
      </c>
    </row>
    <row r="44" spans="1:8" s="18" customFormat="1" x14ac:dyDescent="0.4">
      <c r="A44" s="16"/>
      <c r="B44" s="16"/>
      <c r="C44" s="16"/>
      <c r="D44" s="16"/>
      <c r="E44" s="17">
        <f>DATE(1998,9,12)</f>
        <v>36050</v>
      </c>
      <c r="F44" s="46" t="s">
        <v>51</v>
      </c>
      <c r="G44" s="16">
        <v>2</v>
      </c>
      <c r="H44" s="18">
        <v>57</v>
      </c>
    </row>
    <row r="45" spans="1:8" s="18" customFormat="1" x14ac:dyDescent="0.4">
      <c r="A45" s="16"/>
      <c r="B45" s="16"/>
      <c r="C45" s="16"/>
      <c r="D45" s="16"/>
      <c r="E45" s="17">
        <f>DATE(1998,9,13)</f>
        <v>36051</v>
      </c>
      <c r="F45" s="46" t="s">
        <v>51</v>
      </c>
      <c r="G45" s="16">
        <v>2</v>
      </c>
      <c r="H45" s="18">
        <v>57</v>
      </c>
    </row>
    <row r="46" spans="1:8" s="18" customFormat="1" x14ac:dyDescent="0.4">
      <c r="A46" s="16"/>
      <c r="B46" s="16"/>
      <c r="C46" s="16"/>
      <c r="D46" s="16"/>
      <c r="E46" s="17">
        <f>DATE(1998,9,14)</f>
        <v>36052</v>
      </c>
      <c r="F46" s="46" t="s">
        <v>51</v>
      </c>
      <c r="G46" s="16">
        <v>2</v>
      </c>
      <c r="H46" s="18">
        <v>57</v>
      </c>
    </row>
    <row r="47" spans="1:8" s="18" customFormat="1" x14ac:dyDescent="0.4">
      <c r="A47" s="16"/>
      <c r="B47" s="16"/>
      <c r="C47" s="16"/>
      <c r="D47" s="16"/>
      <c r="E47" s="17">
        <f>DATE(1998,9,15)</f>
        <v>36053</v>
      </c>
      <c r="F47" s="46" t="s">
        <v>51</v>
      </c>
      <c r="G47" s="16">
        <v>2</v>
      </c>
      <c r="H47" s="18">
        <v>57</v>
      </c>
    </row>
    <row r="48" spans="1:8" s="18" customFormat="1" x14ac:dyDescent="0.4">
      <c r="A48" s="16"/>
      <c r="B48" s="16"/>
      <c r="C48" s="16"/>
      <c r="D48" s="16"/>
      <c r="E48" s="17">
        <f>DATE(1998,9,16)</f>
        <v>36054</v>
      </c>
      <c r="F48" s="46" t="s">
        <v>51</v>
      </c>
      <c r="G48" s="16">
        <v>2</v>
      </c>
      <c r="H48" s="18">
        <v>57</v>
      </c>
    </row>
    <row r="49" spans="1:8" s="18" customFormat="1" x14ac:dyDescent="0.4">
      <c r="A49" s="16"/>
      <c r="B49" s="16"/>
      <c r="C49" s="16"/>
      <c r="D49" s="16"/>
      <c r="E49" s="17">
        <f>DATE(1998,9,17)</f>
        <v>36055</v>
      </c>
      <c r="F49" s="46" t="s">
        <v>51</v>
      </c>
      <c r="G49" s="16">
        <v>2</v>
      </c>
      <c r="H49" s="18">
        <v>57</v>
      </c>
    </row>
    <row r="50" spans="1:8" s="18" customFormat="1" x14ac:dyDescent="0.4">
      <c r="A50" s="16"/>
      <c r="B50" s="16"/>
      <c r="C50" s="16"/>
      <c r="D50" s="16"/>
      <c r="E50" s="17">
        <f>DATE(1998,9,18)</f>
        <v>36056</v>
      </c>
      <c r="F50" s="46" t="s">
        <v>51</v>
      </c>
      <c r="G50" s="16">
        <v>3</v>
      </c>
      <c r="H50" s="18">
        <v>57</v>
      </c>
    </row>
    <row r="51" spans="1:8" s="18" customFormat="1" x14ac:dyDescent="0.4">
      <c r="A51" s="16"/>
      <c r="B51" s="16"/>
      <c r="C51" s="16"/>
      <c r="D51" s="16"/>
      <c r="E51" s="17">
        <f>DATE(1998,9,19)</f>
        <v>36057</v>
      </c>
      <c r="F51" s="46" t="s">
        <v>51</v>
      </c>
      <c r="G51" s="16">
        <v>2</v>
      </c>
      <c r="H51" s="18">
        <v>57</v>
      </c>
    </row>
    <row r="52" spans="1:8" s="18" customFormat="1" x14ac:dyDescent="0.4">
      <c r="A52" s="16"/>
      <c r="B52" s="16"/>
      <c r="C52" s="16"/>
      <c r="D52" s="16"/>
      <c r="E52" s="17">
        <f>DATE(1998,9,20)</f>
        <v>36058</v>
      </c>
      <c r="F52" s="46" t="s">
        <v>51</v>
      </c>
      <c r="G52" s="16">
        <v>2</v>
      </c>
      <c r="H52" s="18">
        <v>57</v>
      </c>
    </row>
    <row r="53" spans="1:8" s="18" customFormat="1" x14ac:dyDescent="0.4">
      <c r="A53" s="16"/>
      <c r="B53" s="16"/>
      <c r="C53" s="16"/>
      <c r="D53" s="16"/>
      <c r="E53" s="17">
        <f>DATE(1998,9,21)</f>
        <v>36059</v>
      </c>
      <c r="F53" s="46" t="s">
        <v>51</v>
      </c>
      <c r="G53" s="16">
        <v>2</v>
      </c>
      <c r="H53" s="18">
        <v>57</v>
      </c>
    </row>
    <row r="54" spans="1:8" s="18" customFormat="1" x14ac:dyDescent="0.4">
      <c r="A54" s="16"/>
      <c r="B54" s="16"/>
      <c r="C54" s="16"/>
      <c r="D54" s="16"/>
      <c r="E54" s="17">
        <f>DATE(1998,9,22)</f>
        <v>36060</v>
      </c>
      <c r="F54" s="46" t="s">
        <v>51</v>
      </c>
      <c r="G54" s="16">
        <v>2</v>
      </c>
      <c r="H54" s="18">
        <v>57</v>
      </c>
    </row>
    <row r="55" spans="1:8" s="18" customFormat="1" x14ac:dyDescent="0.4">
      <c r="A55" s="16"/>
      <c r="B55" s="16"/>
      <c r="C55" s="16"/>
      <c r="D55" s="16"/>
      <c r="E55" s="17">
        <f>DATE(1998,9,23)</f>
        <v>36061</v>
      </c>
      <c r="F55" s="46" t="s">
        <v>51</v>
      </c>
      <c r="G55" s="16">
        <v>2</v>
      </c>
      <c r="H55" s="18">
        <v>57</v>
      </c>
    </row>
    <row r="56" spans="1:8" s="18" customFormat="1" x14ac:dyDescent="0.4">
      <c r="A56" s="16"/>
      <c r="B56" s="16"/>
      <c r="C56" s="16"/>
      <c r="D56" s="16"/>
      <c r="E56" s="17">
        <f>DATE(1998,9,24)</f>
        <v>36062</v>
      </c>
      <c r="F56" s="46" t="s">
        <v>51</v>
      </c>
      <c r="G56" s="16">
        <v>2</v>
      </c>
      <c r="H56" s="18">
        <v>57</v>
      </c>
    </row>
    <row r="57" spans="1:8" s="18" customFormat="1" x14ac:dyDescent="0.4">
      <c r="A57" s="16"/>
      <c r="B57" s="16"/>
      <c r="C57" s="16"/>
      <c r="D57" s="16"/>
      <c r="E57" s="17">
        <f>DATE(1998,9,25)</f>
        <v>36063</v>
      </c>
      <c r="F57" s="46" t="s">
        <v>51</v>
      </c>
      <c r="G57" s="16">
        <v>2</v>
      </c>
      <c r="H57" s="18">
        <v>57</v>
      </c>
    </row>
    <row r="58" spans="1:8" s="18" customFormat="1" x14ac:dyDescent="0.4">
      <c r="A58" s="16"/>
      <c r="B58" s="16"/>
      <c r="C58" s="16"/>
      <c r="D58" s="16"/>
      <c r="E58" s="17">
        <f>DATE(1998,9,26)</f>
        <v>36064</v>
      </c>
      <c r="F58" s="46" t="s">
        <v>51</v>
      </c>
      <c r="G58" s="16">
        <v>2</v>
      </c>
      <c r="H58" s="18">
        <v>57</v>
      </c>
    </row>
    <row r="59" spans="1:8" s="18" customFormat="1" x14ac:dyDescent="0.4">
      <c r="A59" s="16"/>
      <c r="B59" s="16"/>
      <c r="C59" s="16"/>
      <c r="D59" s="16"/>
      <c r="E59" s="17">
        <f>DATE(1998,9,27)</f>
        <v>36065</v>
      </c>
      <c r="F59" s="46" t="s">
        <v>51</v>
      </c>
      <c r="G59" s="16">
        <v>3</v>
      </c>
      <c r="H59" s="18">
        <v>57</v>
      </c>
    </row>
    <row r="60" spans="1:8" s="18" customFormat="1" x14ac:dyDescent="0.4">
      <c r="A60" s="16"/>
      <c r="B60" s="16"/>
      <c r="C60" s="16"/>
      <c r="D60" s="16"/>
      <c r="E60" s="17">
        <f>DATE(1998,9,28)</f>
        <v>36066</v>
      </c>
      <c r="F60" s="46" t="s">
        <v>51</v>
      </c>
      <c r="G60" s="16">
        <v>2</v>
      </c>
      <c r="H60" s="18">
        <v>57</v>
      </c>
    </row>
    <row r="61" spans="1:8" s="18" customFormat="1" x14ac:dyDescent="0.4">
      <c r="A61" s="16"/>
      <c r="B61" s="16"/>
      <c r="C61" s="16"/>
      <c r="D61" s="16"/>
      <c r="E61" s="17">
        <f>DATE(1998,9,29)</f>
        <v>36067</v>
      </c>
      <c r="F61" s="46" t="s">
        <v>51</v>
      </c>
      <c r="G61" s="16">
        <v>2</v>
      </c>
      <c r="H61" s="18">
        <v>57</v>
      </c>
    </row>
    <row r="62" spans="1:8" s="18" customFormat="1" x14ac:dyDescent="0.4">
      <c r="A62" s="16"/>
      <c r="B62" s="16"/>
      <c r="C62" s="16"/>
      <c r="D62" s="16"/>
      <c r="E62" s="17">
        <f>DATE(1998,9,30)</f>
        <v>36068</v>
      </c>
      <c r="F62" s="46" t="s">
        <v>51</v>
      </c>
      <c r="G62" s="16">
        <v>3</v>
      </c>
      <c r="H62" s="18">
        <v>57</v>
      </c>
    </row>
    <row r="63" spans="1:8" x14ac:dyDescent="0.4">
      <c r="G63" s="13">
        <f>SUM(G3:G62)</f>
        <v>129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72C49-4749-497F-B36A-AB534C9CA197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9.21875" style="13" customWidth="1"/>
    <col min="3" max="3" width="16.77734375" style="13" customWidth="1"/>
    <col min="4" max="4" width="19.109375" style="13" customWidth="1"/>
    <col min="5" max="5" width="15.88671875" style="14" customWidth="1"/>
    <col min="6" max="6" width="8.6640625" style="19" customWidth="1"/>
    <col min="7" max="7" width="6.109375" style="13" customWidth="1"/>
    <col min="8" max="8" width="4.21875" style="15" customWidth="1"/>
    <col min="9" max="16384" width="11.5546875" style="15"/>
  </cols>
  <sheetData>
    <row r="1" spans="1:8" s="21" customFormat="1" x14ac:dyDescent="0.4">
      <c r="A1" s="95" t="s">
        <v>569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536</v>
      </c>
      <c r="D3" s="13" t="s">
        <v>570</v>
      </c>
      <c r="E3" s="14" t="s">
        <v>50</v>
      </c>
      <c r="F3" s="19" t="s">
        <v>51</v>
      </c>
      <c r="G3" s="13">
        <v>10</v>
      </c>
      <c r="H3" s="15">
        <v>57</v>
      </c>
    </row>
    <row r="4" spans="1:8" x14ac:dyDescent="0.4">
      <c r="G4" s="13">
        <f>SUM(G3)</f>
        <v>10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A19D9-E654-4FB0-9A3F-6102C24A2D75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4.6640625" style="13" customWidth="1"/>
    <col min="3" max="3" width="16.77734375" style="13" customWidth="1"/>
    <col min="4" max="4" width="19.109375" style="13" customWidth="1"/>
    <col min="5" max="5" width="15.88671875" style="14" customWidth="1"/>
    <col min="6" max="6" width="8.88671875" style="19" customWidth="1"/>
    <col min="7" max="7" width="6.109375" style="13" customWidth="1"/>
    <col min="8" max="8" width="4.109375" style="15" customWidth="1"/>
    <col min="9" max="16384" width="11.5546875" style="15"/>
  </cols>
  <sheetData>
    <row r="1" spans="1:8" s="21" customFormat="1" x14ac:dyDescent="0.4">
      <c r="A1" s="95" t="s">
        <v>571</v>
      </c>
      <c r="B1" s="95"/>
      <c r="C1" s="95"/>
      <c r="E1" s="28"/>
      <c r="F1" s="22"/>
    </row>
    <row r="2" spans="1:8" s="12" customFormat="1" x14ac:dyDescent="0.4">
      <c r="A2" s="10" t="s">
        <v>0</v>
      </c>
      <c r="B2" s="10" t="s">
        <v>41</v>
      </c>
      <c r="C2" s="10" t="s">
        <v>42</v>
      </c>
      <c r="D2" s="10" t="s">
        <v>43</v>
      </c>
      <c r="E2" s="32" t="s">
        <v>44</v>
      </c>
      <c r="F2" s="10" t="s">
        <v>45</v>
      </c>
      <c r="G2" s="10" t="s">
        <v>46</v>
      </c>
      <c r="H2" s="12" t="s">
        <v>47</v>
      </c>
    </row>
    <row r="3" spans="1:8" x14ac:dyDescent="0.4">
      <c r="A3" s="13">
        <v>1</v>
      </c>
      <c r="B3" s="13" t="s">
        <v>48</v>
      </c>
      <c r="D3" s="13" t="s">
        <v>572</v>
      </c>
      <c r="E3" s="14" t="s">
        <v>50</v>
      </c>
      <c r="F3" s="19" t="s">
        <v>51</v>
      </c>
      <c r="G3" s="13">
        <v>6</v>
      </c>
      <c r="H3" s="15">
        <v>57</v>
      </c>
    </row>
    <row r="4" spans="1:8" x14ac:dyDescent="0.4">
      <c r="G4" s="13">
        <f>SUM(G3)</f>
        <v>6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66DC-EBCB-4D3C-AA92-C81056FB71F1}">
  <dimension ref="A1:H9"/>
  <sheetViews>
    <sheetView topLeftCell="B1" workbookViewId="0">
      <selection activeCell="G9" sqref="G9"/>
    </sheetView>
  </sheetViews>
  <sheetFormatPr defaultColWidth="11.5546875" defaultRowHeight="12" x14ac:dyDescent="0.4"/>
  <cols>
    <col min="1" max="1" width="2.6640625" style="13" customWidth="1"/>
    <col min="2" max="2" width="40.6640625" style="13" customWidth="1"/>
    <col min="3" max="3" width="20.109375" style="13" customWidth="1"/>
    <col min="4" max="4" width="21.33203125" style="13" customWidth="1"/>
    <col min="5" max="5" width="12.88671875" style="13" customWidth="1"/>
    <col min="6" max="6" width="7.88671875" style="19" customWidth="1"/>
    <col min="7" max="7" width="4.5546875" style="13" customWidth="1"/>
    <col min="8" max="8" width="4.21875" style="15" customWidth="1"/>
    <col min="9" max="16384" width="11.5546875" style="15"/>
  </cols>
  <sheetData>
    <row r="1" spans="1:8" s="21" customFormat="1" x14ac:dyDescent="0.4">
      <c r="A1" s="95" t="s">
        <v>90</v>
      </c>
      <c r="B1" s="95"/>
      <c r="C1" s="95"/>
      <c r="F1" s="22"/>
    </row>
    <row r="2" spans="1:8" s="78" customFormat="1" x14ac:dyDescent="0.4">
      <c r="A2" s="78" t="s">
        <v>0</v>
      </c>
      <c r="B2" s="78" t="s">
        <v>41</v>
      </c>
      <c r="C2" s="78" t="s">
        <v>42</v>
      </c>
      <c r="D2" s="78" t="s">
        <v>43</v>
      </c>
      <c r="E2" s="78" t="s">
        <v>44</v>
      </c>
      <c r="F2" s="78" t="s">
        <v>45</v>
      </c>
      <c r="G2" s="78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C3" s="13" t="s">
        <v>64</v>
      </c>
      <c r="D3" s="13" t="s">
        <v>91</v>
      </c>
      <c r="E3" s="30">
        <f>DATE(1993,6,1)</f>
        <v>34121</v>
      </c>
      <c r="F3" s="19" t="s">
        <v>51</v>
      </c>
      <c r="G3" s="13">
        <v>7</v>
      </c>
      <c r="H3" s="15">
        <v>45</v>
      </c>
    </row>
    <row r="4" spans="1:8" s="18" customFormat="1" x14ac:dyDescent="0.4">
      <c r="A4" s="16">
        <v>2</v>
      </c>
      <c r="B4" s="16" t="s">
        <v>55</v>
      </c>
      <c r="C4" s="16" t="s">
        <v>66</v>
      </c>
      <c r="D4" s="16" t="s">
        <v>92</v>
      </c>
      <c r="E4" s="31">
        <f>DATE(1994,4,14)</f>
        <v>34438</v>
      </c>
      <c r="F4" s="46" t="s">
        <v>51</v>
      </c>
      <c r="G4" s="16">
        <v>6</v>
      </c>
      <c r="H4" s="18">
        <v>45</v>
      </c>
    </row>
    <row r="5" spans="1:8" x14ac:dyDescent="0.4">
      <c r="A5" s="13">
        <v>3</v>
      </c>
      <c r="B5" s="13" t="s">
        <v>56</v>
      </c>
      <c r="C5" s="13" t="s">
        <v>64</v>
      </c>
      <c r="D5" s="13" t="s">
        <v>91</v>
      </c>
      <c r="E5" s="30">
        <f>DATE(1996,6,25)</f>
        <v>35241</v>
      </c>
      <c r="F5" s="19" t="s">
        <v>51</v>
      </c>
      <c r="G5" s="13">
        <v>12</v>
      </c>
      <c r="H5" s="15">
        <v>45</v>
      </c>
    </row>
    <row r="6" spans="1:8" s="18" customFormat="1" x14ac:dyDescent="0.4">
      <c r="A6" s="16">
        <v>4</v>
      </c>
      <c r="B6" s="16" t="s">
        <v>93</v>
      </c>
      <c r="C6" s="16" t="s">
        <v>94</v>
      </c>
      <c r="D6" s="16" t="s">
        <v>91</v>
      </c>
      <c r="E6" s="31">
        <f>DATE(1995,12,4)</f>
        <v>35037</v>
      </c>
      <c r="F6" s="46" t="s">
        <v>51</v>
      </c>
      <c r="G6" s="16">
        <v>15</v>
      </c>
      <c r="H6" s="18">
        <v>45</v>
      </c>
    </row>
    <row r="7" spans="1:8" x14ac:dyDescent="0.4">
      <c r="A7" s="13">
        <v>5</v>
      </c>
      <c r="B7" s="13" t="s">
        <v>95</v>
      </c>
      <c r="C7" s="13" t="s">
        <v>96</v>
      </c>
      <c r="D7" s="13" t="s">
        <v>91</v>
      </c>
      <c r="E7" s="30">
        <f>DATE(1991,3,15)</f>
        <v>33312</v>
      </c>
      <c r="F7" s="19" t="s">
        <v>51</v>
      </c>
      <c r="G7" s="13">
        <v>276</v>
      </c>
      <c r="H7" s="15">
        <v>45</v>
      </c>
    </row>
    <row r="8" spans="1:8" s="18" customFormat="1" x14ac:dyDescent="0.4">
      <c r="A8" s="16">
        <v>6</v>
      </c>
      <c r="B8" s="16" t="s">
        <v>97</v>
      </c>
      <c r="C8" s="16"/>
      <c r="D8" s="16"/>
      <c r="E8" s="17" t="s">
        <v>50</v>
      </c>
      <c r="F8" s="46" t="s">
        <v>98</v>
      </c>
      <c r="G8" s="16">
        <v>1</v>
      </c>
      <c r="H8" s="18">
        <v>45</v>
      </c>
    </row>
    <row r="9" spans="1:8" x14ac:dyDescent="0.4">
      <c r="G9" s="13">
        <f>SUM(G3:G8)</f>
        <v>317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A1407-EEB0-413C-A787-E1E267D92BDD}">
  <dimension ref="A1:H25"/>
  <sheetViews>
    <sheetView topLeftCell="A16" workbookViewId="0">
      <selection activeCell="G25" sqref="G25"/>
    </sheetView>
  </sheetViews>
  <sheetFormatPr defaultColWidth="11.5546875" defaultRowHeight="12" x14ac:dyDescent="0.4"/>
  <cols>
    <col min="1" max="1" width="4.5546875" style="13" customWidth="1"/>
    <col min="2" max="2" width="29.21875" style="13" customWidth="1"/>
    <col min="3" max="3" width="16.77734375" style="13" customWidth="1"/>
    <col min="4" max="4" width="19.109375" style="13" customWidth="1"/>
    <col min="5" max="5" width="15.88671875" style="14" customWidth="1"/>
    <col min="6" max="6" width="8.5546875" style="19" customWidth="1"/>
    <col min="7" max="7" width="6.1093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573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5">
        <v>1</v>
      </c>
      <c r="B3" s="15" t="s">
        <v>254</v>
      </c>
      <c r="C3" s="15" t="s">
        <v>77</v>
      </c>
      <c r="D3" s="15" t="s">
        <v>574</v>
      </c>
      <c r="E3" s="26" t="s">
        <v>212</v>
      </c>
      <c r="F3" s="29" t="s">
        <v>51</v>
      </c>
      <c r="G3" s="15">
        <v>1</v>
      </c>
      <c r="H3" s="15">
        <v>57</v>
      </c>
    </row>
    <row r="4" spans="1:8" x14ac:dyDescent="0.4">
      <c r="A4" s="15"/>
      <c r="B4" s="15" t="s">
        <v>80</v>
      </c>
      <c r="C4" s="15" t="s">
        <v>75</v>
      </c>
      <c r="D4" s="15" t="s">
        <v>575</v>
      </c>
      <c r="E4" s="24">
        <f>DATE(2001,2,1)</f>
        <v>36923</v>
      </c>
      <c r="F4" s="29" t="s">
        <v>51</v>
      </c>
      <c r="G4" s="15">
        <v>9</v>
      </c>
      <c r="H4" s="15">
        <v>57</v>
      </c>
    </row>
    <row r="5" spans="1:8" x14ac:dyDescent="0.4">
      <c r="A5" s="15"/>
      <c r="B5" s="15"/>
      <c r="C5" s="15"/>
      <c r="D5" s="15"/>
      <c r="E5" s="24">
        <f>DATE(2001,2,2)</f>
        <v>36924</v>
      </c>
      <c r="F5" s="29" t="s">
        <v>51</v>
      </c>
      <c r="G5" s="15">
        <v>14</v>
      </c>
      <c r="H5" s="15">
        <v>57</v>
      </c>
    </row>
    <row r="6" spans="1:8" x14ac:dyDescent="0.4">
      <c r="A6" s="15"/>
      <c r="B6" s="15"/>
      <c r="C6" s="15"/>
      <c r="D6" s="15"/>
      <c r="E6" s="24">
        <f>DATE(2001,2,3)</f>
        <v>36925</v>
      </c>
      <c r="F6" s="29" t="s">
        <v>51</v>
      </c>
      <c r="G6" s="15">
        <v>14</v>
      </c>
      <c r="H6" s="15">
        <v>57</v>
      </c>
    </row>
    <row r="7" spans="1:8" x14ac:dyDescent="0.4">
      <c r="A7" s="15"/>
      <c r="B7" s="15"/>
      <c r="C7" s="15"/>
      <c r="D7" s="15"/>
      <c r="E7" s="24">
        <f>DATE(2001,2,4)</f>
        <v>36926</v>
      </c>
      <c r="F7" s="29" t="s">
        <v>51</v>
      </c>
      <c r="G7" s="15">
        <v>5</v>
      </c>
      <c r="H7" s="15">
        <v>57</v>
      </c>
    </row>
    <row r="8" spans="1:8" x14ac:dyDescent="0.4">
      <c r="A8" s="15"/>
      <c r="B8" s="15"/>
      <c r="C8" s="15"/>
      <c r="D8" s="15"/>
      <c r="E8" s="24">
        <f>DATE(2001,2,5)</f>
        <v>36927</v>
      </c>
      <c r="F8" s="29" t="s">
        <v>51</v>
      </c>
      <c r="G8" s="15">
        <v>16</v>
      </c>
      <c r="H8" s="15">
        <v>57</v>
      </c>
    </row>
    <row r="9" spans="1:8" x14ac:dyDescent="0.4">
      <c r="A9" s="15"/>
      <c r="B9" s="15"/>
      <c r="C9" s="15"/>
      <c r="D9" s="15"/>
      <c r="E9" s="24">
        <f>DATE(2001,2,6)</f>
        <v>36928</v>
      </c>
      <c r="F9" s="29" t="s">
        <v>51</v>
      </c>
      <c r="G9" s="15">
        <v>12</v>
      </c>
      <c r="H9" s="15">
        <v>57</v>
      </c>
    </row>
    <row r="10" spans="1:8" x14ac:dyDescent="0.4">
      <c r="A10" s="15"/>
      <c r="B10" s="15"/>
      <c r="C10" s="15"/>
      <c r="D10" s="15"/>
      <c r="E10" s="24">
        <f>DATE(2001,2,7)</f>
        <v>36929</v>
      </c>
      <c r="F10" s="29" t="s">
        <v>51</v>
      </c>
      <c r="G10" s="15">
        <v>14</v>
      </c>
      <c r="H10" s="15">
        <v>57</v>
      </c>
    </row>
    <row r="11" spans="1:8" x14ac:dyDescent="0.4">
      <c r="A11" s="15"/>
      <c r="B11" s="15"/>
      <c r="C11" s="15"/>
      <c r="D11" s="15"/>
      <c r="E11" s="24">
        <f>DATE(2001,2,8)</f>
        <v>36930</v>
      </c>
      <c r="F11" s="29" t="s">
        <v>51</v>
      </c>
      <c r="G11" s="15">
        <v>13</v>
      </c>
      <c r="H11" s="15">
        <v>57</v>
      </c>
    </row>
    <row r="12" spans="1:8" x14ac:dyDescent="0.4">
      <c r="A12" s="15"/>
      <c r="B12" s="15"/>
      <c r="C12" s="15"/>
      <c r="D12" s="15"/>
      <c r="E12" s="24">
        <f>DATE(2001,2,9)</f>
        <v>36931</v>
      </c>
      <c r="F12" s="29" t="s">
        <v>51</v>
      </c>
      <c r="G12" s="15">
        <v>19</v>
      </c>
      <c r="H12" s="15">
        <v>57</v>
      </c>
    </row>
    <row r="13" spans="1:8" x14ac:dyDescent="0.4">
      <c r="A13" s="15"/>
      <c r="B13" s="15"/>
      <c r="C13" s="15"/>
      <c r="D13" s="15"/>
      <c r="E13" s="24">
        <f>DATE(2001,2,10)</f>
        <v>36932</v>
      </c>
      <c r="F13" s="29" t="s">
        <v>51</v>
      </c>
      <c r="G13" s="15">
        <v>13</v>
      </c>
      <c r="H13" s="15">
        <v>57</v>
      </c>
    </row>
    <row r="14" spans="1:8" x14ac:dyDescent="0.4">
      <c r="A14" s="15"/>
      <c r="B14" s="15"/>
      <c r="C14" s="15"/>
      <c r="D14" s="15"/>
      <c r="E14" s="24">
        <f>DATE(2001,2,11)</f>
        <v>36933</v>
      </c>
      <c r="F14" s="29" t="s">
        <v>51</v>
      </c>
      <c r="G14" s="15">
        <v>10</v>
      </c>
      <c r="H14" s="15">
        <v>57</v>
      </c>
    </row>
    <row r="15" spans="1:8" x14ac:dyDescent="0.4">
      <c r="A15" s="15"/>
      <c r="B15" s="15"/>
      <c r="C15" s="15"/>
      <c r="D15" s="15"/>
      <c r="E15" s="24">
        <f>DATE(2001,2,12)</f>
        <v>36934</v>
      </c>
      <c r="F15" s="29" t="s">
        <v>51</v>
      </c>
      <c r="G15" s="15">
        <v>13</v>
      </c>
      <c r="H15" s="15">
        <v>57</v>
      </c>
    </row>
    <row r="16" spans="1:8" x14ac:dyDescent="0.4">
      <c r="A16" s="15"/>
      <c r="B16" s="15"/>
      <c r="C16" s="15"/>
      <c r="D16" s="15"/>
      <c r="E16" s="24">
        <f>DATE(2001,2,13)</f>
        <v>36935</v>
      </c>
      <c r="F16" s="29" t="s">
        <v>51</v>
      </c>
      <c r="G16" s="15">
        <v>18</v>
      </c>
      <c r="H16" s="15">
        <v>57</v>
      </c>
    </row>
    <row r="17" spans="1:8" x14ac:dyDescent="0.4">
      <c r="A17" s="15"/>
      <c r="B17" s="15"/>
      <c r="C17" s="15"/>
      <c r="D17" s="15"/>
      <c r="E17" s="24">
        <f>DATE(2001,2,14)</f>
        <v>36936</v>
      </c>
      <c r="F17" s="29" t="s">
        <v>51</v>
      </c>
      <c r="G17" s="15">
        <v>12</v>
      </c>
      <c r="H17" s="15">
        <v>57</v>
      </c>
    </row>
    <row r="18" spans="1:8" x14ac:dyDescent="0.4">
      <c r="A18" s="15"/>
      <c r="B18" s="15"/>
      <c r="C18" s="15"/>
      <c r="D18" s="15"/>
      <c r="E18" s="24">
        <f>DATE(2001,2,15)</f>
        <v>36937</v>
      </c>
      <c r="F18" s="29" t="s">
        <v>51</v>
      </c>
      <c r="G18" s="15">
        <v>11</v>
      </c>
      <c r="H18" s="15">
        <v>57</v>
      </c>
    </row>
    <row r="19" spans="1:8" x14ac:dyDescent="0.4">
      <c r="A19" s="15"/>
      <c r="B19" s="15"/>
      <c r="C19" s="15"/>
      <c r="D19" s="15"/>
      <c r="E19" s="24">
        <f>DATE(2001,2,16)</f>
        <v>36938</v>
      </c>
      <c r="F19" s="29" t="s">
        <v>51</v>
      </c>
      <c r="G19" s="15">
        <v>11</v>
      </c>
      <c r="H19" s="15">
        <v>57</v>
      </c>
    </row>
    <row r="20" spans="1:8" x14ac:dyDescent="0.4">
      <c r="A20" s="15"/>
      <c r="B20" s="15"/>
      <c r="C20" s="15"/>
      <c r="D20" s="15"/>
      <c r="E20" s="24">
        <f>DATE(2001,2,17)</f>
        <v>36939</v>
      </c>
      <c r="F20" s="29" t="s">
        <v>51</v>
      </c>
      <c r="G20" s="15">
        <v>11</v>
      </c>
      <c r="H20" s="15">
        <v>57</v>
      </c>
    </row>
    <row r="21" spans="1:8" x14ac:dyDescent="0.4">
      <c r="A21" s="15"/>
      <c r="B21" s="15"/>
      <c r="C21" s="15"/>
      <c r="D21" s="15"/>
      <c r="E21" s="24">
        <f>DATE(2001,2,18)</f>
        <v>36940</v>
      </c>
      <c r="F21" s="29" t="s">
        <v>51</v>
      </c>
      <c r="G21" s="15">
        <v>5</v>
      </c>
      <c r="H21" s="15">
        <v>57</v>
      </c>
    </row>
    <row r="22" spans="1:8" x14ac:dyDescent="0.4">
      <c r="A22" s="15"/>
      <c r="B22" s="15"/>
      <c r="C22" s="15"/>
      <c r="D22" s="15"/>
      <c r="E22" s="24">
        <f>DATE(2001,2,19)</f>
        <v>36941</v>
      </c>
      <c r="F22" s="29" t="s">
        <v>51</v>
      </c>
      <c r="G22" s="15">
        <v>5</v>
      </c>
      <c r="H22" s="15">
        <v>57</v>
      </c>
    </row>
    <row r="23" spans="1:8" x14ac:dyDescent="0.4">
      <c r="A23" s="15"/>
      <c r="B23" s="15"/>
      <c r="C23" s="15"/>
      <c r="D23" s="15"/>
      <c r="E23" s="24">
        <f>DATE(2001,2,20)</f>
        <v>36942</v>
      </c>
      <c r="F23" s="29" t="s">
        <v>51</v>
      </c>
      <c r="G23" s="15">
        <v>5</v>
      </c>
      <c r="H23" s="15">
        <v>57</v>
      </c>
    </row>
    <row r="24" spans="1:8" x14ac:dyDescent="0.4">
      <c r="A24" s="15"/>
      <c r="B24" s="15"/>
      <c r="C24" s="15"/>
      <c r="D24" s="15"/>
      <c r="E24" s="24">
        <f>DATE(2001,2,21)</f>
        <v>36943</v>
      </c>
      <c r="F24" s="29" t="s">
        <v>51</v>
      </c>
      <c r="G24" s="15">
        <v>1</v>
      </c>
      <c r="H24" s="15">
        <v>57</v>
      </c>
    </row>
    <row r="25" spans="1:8" x14ac:dyDescent="0.4">
      <c r="G25" s="13">
        <f>SUM(G3:G24)</f>
        <v>232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07D4-E8AA-4DB1-906E-55E0CA9D62A6}">
  <dimension ref="A1:H10"/>
  <sheetViews>
    <sheetView workbookViewId="0">
      <selection activeCell="G10" sqref="G10"/>
    </sheetView>
  </sheetViews>
  <sheetFormatPr defaultColWidth="11.5546875" defaultRowHeight="12" x14ac:dyDescent="0.4"/>
  <cols>
    <col min="1" max="1" width="3.21875" style="13" customWidth="1"/>
    <col min="2" max="2" width="42.21875" style="13" customWidth="1"/>
    <col min="3" max="3" width="16.88671875" style="13" customWidth="1"/>
    <col min="4" max="4" width="21.6640625" style="13" customWidth="1"/>
    <col min="5" max="5" width="14.109375" style="14" customWidth="1"/>
    <col min="6" max="6" width="10" style="19" customWidth="1"/>
    <col min="7" max="7" width="4.5546875" style="13" customWidth="1"/>
    <col min="8" max="8" width="4.44140625" style="15" customWidth="1"/>
    <col min="9" max="16384" width="11.5546875" style="15"/>
  </cols>
  <sheetData>
    <row r="1" spans="1:8" s="21" customFormat="1" x14ac:dyDescent="0.4">
      <c r="A1" s="95" t="s">
        <v>576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140</v>
      </c>
      <c r="C3" s="13" t="s">
        <v>170</v>
      </c>
      <c r="D3" s="13" t="s">
        <v>577</v>
      </c>
      <c r="E3" s="14">
        <f>DATE(2004,2,10)</f>
        <v>38027</v>
      </c>
      <c r="F3" s="19" t="s">
        <v>294</v>
      </c>
      <c r="G3" s="13">
        <v>12</v>
      </c>
      <c r="H3" s="15">
        <v>57</v>
      </c>
    </row>
    <row r="4" spans="1:8" s="18" customFormat="1" x14ac:dyDescent="0.4">
      <c r="A4" s="16">
        <v>2</v>
      </c>
      <c r="B4" s="16" t="s">
        <v>172</v>
      </c>
      <c r="C4" s="16" t="s">
        <v>170</v>
      </c>
      <c r="D4" s="16" t="s">
        <v>577</v>
      </c>
      <c r="E4" s="17">
        <f>DATE(2005,2,28)</f>
        <v>38411</v>
      </c>
      <c r="F4" s="46" t="s">
        <v>294</v>
      </c>
      <c r="G4" s="16">
        <v>13</v>
      </c>
      <c r="H4" s="18">
        <v>57</v>
      </c>
    </row>
    <row r="5" spans="1:8" x14ac:dyDescent="0.4">
      <c r="A5" s="15">
        <v>3</v>
      </c>
      <c r="B5" s="15" t="s">
        <v>254</v>
      </c>
      <c r="C5" s="15" t="s">
        <v>77</v>
      </c>
      <c r="D5" s="15"/>
      <c r="E5" s="26" t="s">
        <v>578</v>
      </c>
      <c r="F5" s="29" t="s">
        <v>51</v>
      </c>
      <c r="G5" s="15">
        <v>1</v>
      </c>
      <c r="H5" s="15">
        <v>57</v>
      </c>
    </row>
    <row r="6" spans="1:8" x14ac:dyDescent="0.4">
      <c r="A6" s="15"/>
      <c r="B6" s="15" t="s">
        <v>147</v>
      </c>
      <c r="C6" s="15" t="s">
        <v>75</v>
      </c>
      <c r="D6" s="15"/>
      <c r="E6" s="24">
        <f>DATE(2003,4,10)</f>
        <v>37721</v>
      </c>
      <c r="F6" s="29" t="s">
        <v>51</v>
      </c>
      <c r="G6" s="15">
        <v>5</v>
      </c>
      <c r="H6" s="15">
        <v>57</v>
      </c>
    </row>
    <row r="7" spans="1:8" x14ac:dyDescent="0.4">
      <c r="A7" s="15"/>
      <c r="B7" s="15"/>
      <c r="C7" s="15"/>
      <c r="D7" s="15"/>
      <c r="E7" s="24">
        <f>DATE(2003,4,12)</f>
        <v>37723</v>
      </c>
      <c r="F7" s="29" t="s">
        <v>51</v>
      </c>
      <c r="G7" s="15">
        <v>7</v>
      </c>
      <c r="H7" s="15">
        <v>57</v>
      </c>
    </row>
    <row r="8" spans="1:8" x14ac:dyDescent="0.4">
      <c r="A8" s="15"/>
      <c r="B8" s="15"/>
      <c r="C8" s="15"/>
      <c r="D8" s="15"/>
      <c r="E8" s="24">
        <f>DATE(2003,4,13)</f>
        <v>37724</v>
      </c>
      <c r="F8" s="29" t="s">
        <v>51</v>
      </c>
      <c r="G8" s="15">
        <v>8</v>
      </c>
      <c r="H8" s="15">
        <v>57</v>
      </c>
    </row>
    <row r="9" spans="1:8" s="18" customFormat="1" x14ac:dyDescent="0.4">
      <c r="A9" s="16">
        <v>4</v>
      </c>
      <c r="B9" s="16" t="s">
        <v>276</v>
      </c>
      <c r="C9" s="16"/>
      <c r="D9" s="16"/>
      <c r="E9" s="17"/>
      <c r="F9" s="46" t="s">
        <v>87</v>
      </c>
      <c r="G9" s="16">
        <v>1</v>
      </c>
      <c r="H9" s="18">
        <v>57</v>
      </c>
    </row>
    <row r="10" spans="1:8" x14ac:dyDescent="0.4">
      <c r="G10" s="13">
        <f>SUM(G3:G9)</f>
        <v>47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5BA4-222F-4C43-BB13-8DA8CCC44134}">
  <dimension ref="A1:H5"/>
  <sheetViews>
    <sheetView workbookViewId="0">
      <selection activeCell="G5" sqref="G5"/>
    </sheetView>
  </sheetViews>
  <sheetFormatPr defaultColWidth="11.5546875" defaultRowHeight="12" x14ac:dyDescent="0.4"/>
  <cols>
    <col min="1" max="1" width="4.5546875" style="13" customWidth="1"/>
    <col min="2" max="2" width="32" style="13" customWidth="1"/>
    <col min="3" max="3" width="16.77734375" style="13" customWidth="1"/>
    <col min="4" max="4" width="19" style="13" customWidth="1"/>
    <col min="5" max="5" width="12.44140625" style="19" customWidth="1"/>
    <col min="6" max="6" width="7.77734375" style="19" customWidth="1"/>
    <col min="7" max="7" width="6.1093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579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338</v>
      </c>
      <c r="E3" s="14">
        <f>DATE(2004,8,19)</f>
        <v>38218</v>
      </c>
      <c r="F3" s="19" t="s">
        <v>51</v>
      </c>
      <c r="G3" s="13">
        <v>29</v>
      </c>
      <c r="H3" s="15">
        <v>57</v>
      </c>
    </row>
    <row r="4" spans="1:8" s="18" customFormat="1" x14ac:dyDescent="0.4">
      <c r="A4" s="16">
        <v>2</v>
      </c>
      <c r="B4" s="16" t="s">
        <v>340</v>
      </c>
      <c r="C4" s="16"/>
      <c r="D4" s="16"/>
      <c r="E4" s="17">
        <f>DATE(2004,8,19)</f>
        <v>38218</v>
      </c>
      <c r="F4" s="46" t="s">
        <v>51</v>
      </c>
      <c r="G4" s="16">
        <v>31</v>
      </c>
      <c r="H4" s="18">
        <v>57</v>
      </c>
    </row>
    <row r="5" spans="1:8" x14ac:dyDescent="0.4">
      <c r="G5" s="13">
        <f>SUM(G3:G4)</f>
        <v>60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66A3-4675-4110-BE98-6797D2368782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3" style="13" customWidth="1"/>
    <col min="3" max="3" width="17.5546875" style="13" customWidth="1"/>
    <col min="4" max="4" width="19.33203125" style="13" customWidth="1"/>
    <col min="5" max="5" width="15.88671875" style="19" customWidth="1"/>
    <col min="6" max="6" width="8.5546875" style="19" customWidth="1"/>
    <col min="7" max="7" width="6.109375" style="13" customWidth="1"/>
    <col min="8" max="8" width="4.33203125" style="15" customWidth="1"/>
    <col min="9" max="16384" width="11.5546875" style="15"/>
  </cols>
  <sheetData>
    <row r="1" spans="1:8" s="21" customFormat="1" x14ac:dyDescent="0.4">
      <c r="A1" s="95" t="s">
        <v>580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581</v>
      </c>
      <c r="D3" s="13" t="s">
        <v>582</v>
      </c>
      <c r="E3" s="19" t="s">
        <v>50</v>
      </c>
      <c r="F3" s="19" t="s">
        <v>51</v>
      </c>
      <c r="G3" s="13">
        <v>4</v>
      </c>
      <c r="H3" s="15">
        <v>57</v>
      </c>
    </row>
    <row r="4" spans="1:8" x14ac:dyDescent="0.4">
      <c r="G4" s="13">
        <f>SUM(G3)</f>
        <v>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EBFB2-9258-4DD9-A22C-C792AFFB40A9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3" style="13" customWidth="1"/>
    <col min="3" max="3" width="17.5546875" style="13" customWidth="1"/>
    <col min="4" max="4" width="25.77734375" style="13" customWidth="1"/>
    <col min="5" max="5" width="12" style="19" customWidth="1"/>
    <col min="6" max="6" width="9.88671875" style="19" customWidth="1"/>
    <col min="7" max="7" width="6.1093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583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536</v>
      </c>
      <c r="D3" s="13" t="s">
        <v>584</v>
      </c>
      <c r="E3" s="19" t="s">
        <v>50</v>
      </c>
      <c r="F3" s="19" t="s">
        <v>51</v>
      </c>
      <c r="G3" s="13">
        <v>9</v>
      </c>
      <c r="H3" s="15">
        <v>57</v>
      </c>
    </row>
    <row r="4" spans="1:8" x14ac:dyDescent="0.4">
      <c r="G4" s="13">
        <f>SUM(G3)</f>
        <v>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033C-1C71-4339-A61E-F6074EE0EE91}">
  <dimension ref="A1:H6"/>
  <sheetViews>
    <sheetView workbookViewId="0">
      <selection activeCell="G6" sqref="G6"/>
    </sheetView>
  </sheetViews>
  <sheetFormatPr defaultColWidth="11.5546875" defaultRowHeight="12" x14ac:dyDescent="0.4"/>
  <cols>
    <col min="1" max="1" width="4.5546875" style="13" customWidth="1"/>
    <col min="2" max="2" width="23" style="13" customWidth="1"/>
    <col min="3" max="3" width="17.5546875" style="13" customWidth="1"/>
    <col min="4" max="4" width="19.33203125" style="13" customWidth="1"/>
    <col min="5" max="5" width="15.88671875" style="19" customWidth="1"/>
    <col min="6" max="6" width="12" style="19" customWidth="1"/>
    <col min="7" max="7" width="6.1093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585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205</v>
      </c>
      <c r="C3" s="13" t="s">
        <v>138</v>
      </c>
      <c r="D3" s="13" t="s">
        <v>586</v>
      </c>
      <c r="E3" s="14">
        <f>DATE(2002,2,27)</f>
        <v>37314</v>
      </c>
      <c r="F3" s="19" t="s">
        <v>51</v>
      </c>
      <c r="G3" s="13">
        <v>15</v>
      </c>
      <c r="H3" s="15">
        <v>57</v>
      </c>
    </row>
    <row r="4" spans="1:8" s="18" customFormat="1" x14ac:dyDescent="0.4">
      <c r="A4" s="16">
        <v>2</v>
      </c>
      <c r="B4" s="16" t="s">
        <v>140</v>
      </c>
      <c r="C4" s="16" t="s">
        <v>170</v>
      </c>
      <c r="D4" s="16" t="s">
        <v>587</v>
      </c>
      <c r="E4" s="17">
        <f>DATE(2004,3,4)</f>
        <v>38050</v>
      </c>
      <c r="F4" s="46" t="s">
        <v>51</v>
      </c>
      <c r="G4" s="16">
        <v>15</v>
      </c>
      <c r="H4" s="18">
        <v>57</v>
      </c>
    </row>
    <row r="5" spans="1:8" x14ac:dyDescent="0.4">
      <c r="A5" s="13">
        <v>3</v>
      </c>
      <c r="B5" s="13" t="s">
        <v>588</v>
      </c>
      <c r="D5" s="13" t="s">
        <v>587</v>
      </c>
      <c r="E5" s="19" t="s">
        <v>50</v>
      </c>
      <c r="F5" s="19" t="s">
        <v>51</v>
      </c>
      <c r="G5" s="13">
        <v>4</v>
      </c>
      <c r="H5" s="15">
        <v>57</v>
      </c>
    </row>
    <row r="6" spans="1:8" x14ac:dyDescent="0.4">
      <c r="G6" s="13">
        <f>SUM(G3:G5)</f>
        <v>34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B9179-B1DE-4309-B582-39B128E4EEEB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1.5546875" style="13" customWidth="1"/>
    <col min="3" max="3" width="12.88671875" style="13" customWidth="1"/>
    <col min="4" max="4" width="19" style="13" customWidth="1"/>
    <col min="5" max="5" width="12.21875" style="19" customWidth="1"/>
    <col min="6" max="6" width="9.21875" style="19" customWidth="1"/>
    <col min="7" max="7" width="6.109375" style="13" customWidth="1"/>
    <col min="8" max="8" width="6.77734375" style="15" customWidth="1"/>
    <col min="9" max="16384" width="11.5546875" style="15"/>
  </cols>
  <sheetData>
    <row r="1" spans="1:8" s="21" customFormat="1" x14ac:dyDescent="0.4">
      <c r="A1" s="95" t="s">
        <v>589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590</v>
      </c>
      <c r="D3" s="13" t="s">
        <v>591</v>
      </c>
      <c r="E3" s="19" t="s">
        <v>50</v>
      </c>
      <c r="F3" s="19" t="s">
        <v>51</v>
      </c>
      <c r="G3" s="13">
        <v>2</v>
      </c>
      <c r="H3" s="15">
        <v>57</v>
      </c>
    </row>
    <row r="4" spans="1:8" x14ac:dyDescent="0.4">
      <c r="G4" s="13">
        <f>SUM(G3)</f>
        <v>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5480-79E3-4456-9176-0CFBEF6DFB29}">
  <dimension ref="A1:H4"/>
  <sheetViews>
    <sheetView workbookViewId="0">
      <selection activeCell="E35" sqref="E35"/>
    </sheetView>
  </sheetViews>
  <sheetFormatPr defaultColWidth="11.5546875" defaultRowHeight="12" x14ac:dyDescent="0.4"/>
  <cols>
    <col min="1" max="1" width="4.5546875" style="13" customWidth="1"/>
    <col min="2" max="2" width="29.21875" style="13" customWidth="1"/>
    <col min="3" max="3" width="16.77734375" style="13" customWidth="1"/>
    <col min="4" max="4" width="19" style="13" customWidth="1"/>
    <col min="5" max="5" width="12.21875" style="19" customWidth="1"/>
    <col min="6" max="6" width="9.44140625" style="19" customWidth="1"/>
    <col min="7" max="7" width="6.1093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592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76</v>
      </c>
      <c r="E3" s="14" t="s">
        <v>146</v>
      </c>
      <c r="F3" s="19" t="s">
        <v>51</v>
      </c>
      <c r="G3" s="13">
        <v>1</v>
      </c>
      <c r="H3" s="15">
        <v>57</v>
      </c>
    </row>
    <row r="4" spans="1:8" x14ac:dyDescent="0.4">
      <c r="G4" s="13">
        <f>SUM(G3)</f>
        <v>1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CC2D-312B-46FE-A303-B302B34230B9}">
  <dimension ref="A1:H9"/>
  <sheetViews>
    <sheetView workbookViewId="0">
      <selection activeCell="G9" sqref="G9"/>
    </sheetView>
  </sheetViews>
  <sheetFormatPr defaultColWidth="11.5546875" defaultRowHeight="12" x14ac:dyDescent="0.4"/>
  <cols>
    <col min="1" max="1" width="4.5546875" style="13" customWidth="1"/>
    <col min="2" max="2" width="38.88671875" style="13" customWidth="1"/>
    <col min="3" max="3" width="14.77734375" style="13" customWidth="1"/>
    <col min="4" max="4" width="22.44140625" style="13" customWidth="1"/>
    <col min="5" max="5" width="13.5546875" style="19" customWidth="1"/>
    <col min="6" max="6" width="9.77734375" style="19" customWidth="1"/>
    <col min="7" max="7" width="6.1093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593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137</v>
      </c>
      <c r="C3" s="13" t="s">
        <v>594</v>
      </c>
      <c r="D3" s="13" t="s">
        <v>595</v>
      </c>
      <c r="E3" s="14">
        <f>DATE(2003,2,25)</f>
        <v>37677</v>
      </c>
      <c r="F3" s="19" t="s">
        <v>51</v>
      </c>
      <c r="G3" s="13">
        <v>13</v>
      </c>
      <c r="H3" s="15">
        <v>57</v>
      </c>
    </row>
    <row r="4" spans="1:8" s="18" customFormat="1" x14ac:dyDescent="0.4">
      <c r="A4" s="16">
        <v>2</v>
      </c>
      <c r="B4" s="16" t="s">
        <v>76</v>
      </c>
      <c r="C4" s="16" t="s">
        <v>77</v>
      </c>
      <c r="D4" s="16" t="s">
        <v>596</v>
      </c>
      <c r="E4" s="17" t="s">
        <v>578</v>
      </c>
      <c r="F4" s="46" t="s">
        <v>51</v>
      </c>
      <c r="G4" s="16">
        <v>1</v>
      </c>
      <c r="H4" s="18">
        <v>57</v>
      </c>
    </row>
    <row r="5" spans="1:8" s="18" customFormat="1" x14ac:dyDescent="0.4">
      <c r="A5" s="16"/>
      <c r="B5" s="16" t="s">
        <v>80</v>
      </c>
      <c r="C5" s="16" t="s">
        <v>75</v>
      </c>
      <c r="D5" s="16"/>
      <c r="E5" s="17">
        <f>DATE(2003,4,8)</f>
        <v>37719</v>
      </c>
      <c r="F5" s="46" t="s">
        <v>51</v>
      </c>
      <c r="G5" s="16">
        <v>4</v>
      </c>
      <c r="H5" s="18">
        <v>57</v>
      </c>
    </row>
    <row r="6" spans="1:8" s="18" customFormat="1" x14ac:dyDescent="0.4">
      <c r="A6" s="16"/>
      <c r="B6" s="16"/>
      <c r="C6" s="16"/>
      <c r="D6" s="16"/>
      <c r="E6" s="17">
        <f>DATE(2003,4,9)</f>
        <v>37720</v>
      </c>
      <c r="F6" s="46" t="s">
        <v>51</v>
      </c>
      <c r="G6" s="16">
        <v>2</v>
      </c>
      <c r="H6" s="18">
        <v>57</v>
      </c>
    </row>
    <row r="7" spans="1:8" s="18" customFormat="1" x14ac:dyDescent="0.4">
      <c r="A7" s="16"/>
      <c r="B7" s="16"/>
      <c r="C7" s="16"/>
      <c r="D7" s="16"/>
      <c r="E7" s="17">
        <f>DATE(2003,4,13)</f>
        <v>37724</v>
      </c>
      <c r="F7" s="46" t="s">
        <v>51</v>
      </c>
      <c r="G7" s="16">
        <v>10</v>
      </c>
      <c r="H7" s="18">
        <v>57</v>
      </c>
    </row>
    <row r="8" spans="1:8" x14ac:dyDescent="0.4">
      <c r="A8" s="13">
        <v>3</v>
      </c>
      <c r="B8" s="13" t="s">
        <v>276</v>
      </c>
      <c r="E8" s="14"/>
      <c r="F8" s="19" t="s">
        <v>87</v>
      </c>
      <c r="G8" s="13">
        <v>1</v>
      </c>
      <c r="H8" s="15">
        <v>57</v>
      </c>
    </row>
    <row r="9" spans="1:8" x14ac:dyDescent="0.4">
      <c r="G9" s="13">
        <f>SUM(G3:G8)</f>
        <v>31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25A0-4903-42E4-AC43-E77A77824291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9.21875" style="13" customWidth="1"/>
    <col min="3" max="3" width="21.109375" style="13" customWidth="1"/>
    <col min="4" max="4" width="21.44140625" style="13" customWidth="1"/>
    <col min="5" max="5" width="10.5546875" style="19" customWidth="1"/>
    <col min="6" max="6" width="9" style="19" customWidth="1"/>
    <col min="7" max="7" width="6.109375" style="13" customWidth="1"/>
    <col min="8" max="8" width="4.33203125" style="15" customWidth="1"/>
    <col min="9" max="16384" width="11.5546875" style="15"/>
  </cols>
  <sheetData>
    <row r="1" spans="1:8" s="21" customFormat="1" x14ac:dyDescent="0.4">
      <c r="A1" s="95" t="s">
        <v>597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C3" s="13" t="s">
        <v>598</v>
      </c>
      <c r="D3" s="13" t="s">
        <v>599</v>
      </c>
      <c r="E3" s="14" t="s">
        <v>50</v>
      </c>
      <c r="F3" s="19" t="s">
        <v>51</v>
      </c>
      <c r="G3" s="13">
        <v>18</v>
      </c>
      <c r="H3" s="15">
        <v>57</v>
      </c>
    </row>
    <row r="4" spans="1:8" x14ac:dyDescent="0.4">
      <c r="G4" s="13">
        <f>SUM(G3)</f>
        <v>18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D583-A969-4FCF-8D5C-6F78835C0BF9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2.6640625" style="13" customWidth="1"/>
    <col min="2" max="2" width="19.88671875" style="13" customWidth="1"/>
    <col min="3" max="3" width="12.21875" style="13" customWidth="1"/>
    <col min="4" max="4" width="21.33203125" style="13" customWidth="1"/>
    <col min="5" max="5" width="12.88671875" style="13" customWidth="1"/>
    <col min="6" max="6" width="12.109375" style="13" customWidth="1"/>
    <col min="7" max="7" width="4.44140625" style="13" customWidth="1"/>
    <col min="8" max="8" width="3.33203125" style="15" customWidth="1"/>
    <col min="9" max="16384" width="11.5546875" style="15"/>
  </cols>
  <sheetData>
    <row r="1" spans="1:8" s="21" customFormat="1" x14ac:dyDescent="0.4">
      <c r="A1" s="95" t="s">
        <v>99</v>
      </c>
      <c r="B1" s="95"/>
      <c r="C1" s="95"/>
    </row>
    <row r="2" spans="1:8" s="78" customFormat="1" x14ac:dyDescent="0.4">
      <c r="A2" s="78" t="s">
        <v>0</v>
      </c>
      <c r="B2" s="78" t="s">
        <v>41</v>
      </c>
      <c r="C2" s="78" t="s">
        <v>42</v>
      </c>
      <c r="D2" s="78" t="s">
        <v>43</v>
      </c>
      <c r="E2" s="78" t="s">
        <v>44</v>
      </c>
      <c r="F2" s="78" t="s">
        <v>45</v>
      </c>
      <c r="G2" s="78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100</v>
      </c>
      <c r="E3" s="13" t="s">
        <v>50</v>
      </c>
      <c r="F3" s="19" t="s">
        <v>51</v>
      </c>
      <c r="G3" s="13">
        <v>6</v>
      </c>
      <c r="H3" s="15">
        <v>45</v>
      </c>
    </row>
    <row r="4" spans="1:8" x14ac:dyDescent="0.4">
      <c r="G4" s="13">
        <f>SUM(G3)</f>
        <v>6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AA35-A2DB-4C89-BA74-7D20647B0969}">
  <dimension ref="A1:H66"/>
  <sheetViews>
    <sheetView topLeftCell="A51" workbookViewId="0">
      <selection activeCell="G65" sqref="G65"/>
    </sheetView>
  </sheetViews>
  <sheetFormatPr defaultColWidth="11.5546875" defaultRowHeight="12" x14ac:dyDescent="0.4"/>
  <cols>
    <col min="1" max="1" width="4.5546875" style="13" customWidth="1"/>
    <col min="2" max="2" width="29.21875" style="13" customWidth="1"/>
    <col min="3" max="3" width="13.5546875" style="13" customWidth="1"/>
    <col min="4" max="4" width="19" style="13" customWidth="1"/>
    <col min="5" max="5" width="13.21875" style="19" customWidth="1"/>
    <col min="6" max="6" width="8.21875" style="19" customWidth="1"/>
    <col min="7" max="7" width="4.218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600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174</v>
      </c>
      <c r="C3" s="13" t="s">
        <v>208</v>
      </c>
      <c r="E3" s="14" t="s">
        <v>265</v>
      </c>
      <c r="F3" s="19" t="s">
        <v>51</v>
      </c>
      <c r="G3" s="13">
        <v>1</v>
      </c>
      <c r="H3" s="15">
        <v>58</v>
      </c>
    </row>
    <row r="4" spans="1:8" x14ac:dyDescent="0.4">
      <c r="A4" s="15"/>
      <c r="B4" s="15" t="s">
        <v>115</v>
      </c>
      <c r="C4" s="15" t="s">
        <v>113</v>
      </c>
      <c r="D4" s="15"/>
      <c r="E4" s="14">
        <f>DATE(2011,3,1)</f>
        <v>40603</v>
      </c>
      <c r="F4" s="19" t="s">
        <v>51</v>
      </c>
      <c r="G4" s="15">
        <v>20</v>
      </c>
      <c r="H4" s="15">
        <v>58</v>
      </c>
    </row>
    <row r="5" spans="1:8" x14ac:dyDescent="0.4">
      <c r="A5" s="15"/>
      <c r="B5" s="15"/>
      <c r="C5" s="15"/>
      <c r="D5" s="15"/>
      <c r="E5" s="14">
        <f>DATE(2011,3,2)</f>
        <v>40604</v>
      </c>
      <c r="F5" s="19" t="s">
        <v>51</v>
      </c>
      <c r="G5" s="15">
        <v>12</v>
      </c>
      <c r="H5" s="15">
        <v>58</v>
      </c>
    </row>
    <row r="6" spans="1:8" x14ac:dyDescent="0.4">
      <c r="E6" s="14">
        <f>DATE(2011,3,3)</f>
        <v>40605</v>
      </c>
      <c r="F6" s="19" t="s">
        <v>51</v>
      </c>
      <c r="G6" s="13">
        <v>10</v>
      </c>
      <c r="H6" s="15">
        <v>58</v>
      </c>
    </row>
    <row r="7" spans="1:8" x14ac:dyDescent="0.4">
      <c r="E7" s="14">
        <f>DATE(2011,3,4)</f>
        <v>40606</v>
      </c>
      <c r="F7" s="19" t="s">
        <v>51</v>
      </c>
      <c r="G7" s="13">
        <v>8</v>
      </c>
      <c r="H7" s="15">
        <v>58</v>
      </c>
    </row>
    <row r="8" spans="1:8" x14ac:dyDescent="0.4">
      <c r="E8" s="14">
        <f>DATE(2011,3,5)</f>
        <v>40607</v>
      </c>
      <c r="F8" s="19" t="s">
        <v>51</v>
      </c>
      <c r="G8" s="13">
        <v>13</v>
      </c>
      <c r="H8" s="15">
        <v>58</v>
      </c>
    </row>
    <row r="9" spans="1:8" x14ac:dyDescent="0.4">
      <c r="E9" s="14">
        <f>DATE(2011,3,6)</f>
        <v>40608</v>
      </c>
      <c r="F9" s="19" t="s">
        <v>51</v>
      </c>
      <c r="G9" s="13">
        <v>9</v>
      </c>
      <c r="H9" s="15">
        <v>58</v>
      </c>
    </row>
    <row r="10" spans="1:8" x14ac:dyDescent="0.4">
      <c r="E10" s="14">
        <f>DATE(2011,3,7)</f>
        <v>40609</v>
      </c>
      <c r="F10" s="19" t="s">
        <v>51</v>
      </c>
      <c r="G10" s="13">
        <v>12</v>
      </c>
      <c r="H10" s="15">
        <v>58</v>
      </c>
    </row>
    <row r="11" spans="1:8" x14ac:dyDescent="0.4">
      <c r="E11" s="14">
        <f>DATE(2011,3,8)</f>
        <v>40610</v>
      </c>
      <c r="F11" s="19" t="s">
        <v>51</v>
      </c>
      <c r="G11" s="13">
        <v>12</v>
      </c>
      <c r="H11" s="15">
        <v>58</v>
      </c>
    </row>
    <row r="12" spans="1:8" x14ac:dyDescent="0.4">
      <c r="E12" s="14">
        <f>DATE(2011,3,10)</f>
        <v>40612</v>
      </c>
      <c r="F12" s="19" t="s">
        <v>51</v>
      </c>
      <c r="G12" s="13">
        <v>11</v>
      </c>
      <c r="H12" s="15">
        <v>58</v>
      </c>
    </row>
    <row r="13" spans="1:8" x14ac:dyDescent="0.4">
      <c r="E13" s="14">
        <f>DATE(2011,3,11)</f>
        <v>40613</v>
      </c>
      <c r="F13" s="19" t="s">
        <v>51</v>
      </c>
      <c r="G13" s="13">
        <v>16</v>
      </c>
      <c r="H13" s="15">
        <v>58</v>
      </c>
    </row>
    <row r="14" spans="1:8" x14ac:dyDescent="0.4">
      <c r="E14" s="14">
        <f>DATE(2011,3,12)</f>
        <v>40614</v>
      </c>
      <c r="F14" s="19" t="s">
        <v>51</v>
      </c>
      <c r="G14" s="13">
        <v>16</v>
      </c>
      <c r="H14" s="15">
        <v>58</v>
      </c>
    </row>
    <row r="15" spans="1:8" x14ac:dyDescent="0.4">
      <c r="E15" s="14">
        <f>DATE(2011,3,13)</f>
        <v>40615</v>
      </c>
      <c r="F15" s="19" t="s">
        <v>51</v>
      </c>
      <c r="G15" s="13">
        <v>17</v>
      </c>
      <c r="H15" s="15">
        <v>58</v>
      </c>
    </row>
    <row r="16" spans="1:8" x14ac:dyDescent="0.4">
      <c r="E16" s="14">
        <f>DATE(2011,3,14)</f>
        <v>40616</v>
      </c>
      <c r="F16" s="19" t="s">
        <v>51</v>
      </c>
      <c r="G16" s="13">
        <v>17</v>
      </c>
      <c r="H16" s="15">
        <v>58</v>
      </c>
    </row>
    <row r="17" spans="5:8" x14ac:dyDescent="0.4">
      <c r="E17" s="14">
        <f>DATE(2011,3,15)</f>
        <v>40617</v>
      </c>
      <c r="F17" s="19" t="s">
        <v>51</v>
      </c>
      <c r="G17" s="13">
        <v>18</v>
      </c>
      <c r="H17" s="15">
        <v>58</v>
      </c>
    </row>
    <row r="18" spans="5:8" x14ac:dyDescent="0.4">
      <c r="E18" s="14">
        <f>DATE(2011,3,16)</f>
        <v>40618</v>
      </c>
      <c r="F18" s="19" t="s">
        <v>51</v>
      </c>
      <c r="G18" s="13">
        <v>15</v>
      </c>
      <c r="H18" s="15">
        <v>58</v>
      </c>
    </row>
    <row r="19" spans="5:8" x14ac:dyDescent="0.4">
      <c r="E19" s="14">
        <f>DATE(2011,3,17)</f>
        <v>40619</v>
      </c>
      <c r="F19" s="19" t="s">
        <v>51</v>
      </c>
      <c r="G19" s="13">
        <v>18</v>
      </c>
      <c r="H19" s="15">
        <v>58</v>
      </c>
    </row>
    <row r="20" spans="5:8" x14ac:dyDescent="0.4">
      <c r="E20" s="14">
        <f>DATE(2011,3,18)</f>
        <v>40620</v>
      </c>
      <c r="F20" s="19" t="s">
        <v>51</v>
      </c>
      <c r="G20" s="13">
        <v>36</v>
      </c>
      <c r="H20" s="15">
        <v>58</v>
      </c>
    </row>
    <row r="21" spans="5:8" x14ac:dyDescent="0.4">
      <c r="E21" s="14">
        <f>DATE(2011,3,19)</f>
        <v>40621</v>
      </c>
      <c r="F21" s="19" t="s">
        <v>51</v>
      </c>
      <c r="G21" s="13">
        <v>18</v>
      </c>
      <c r="H21" s="15">
        <v>58</v>
      </c>
    </row>
    <row r="22" spans="5:8" x14ac:dyDescent="0.4">
      <c r="E22" s="14">
        <f>DATE(2011,3,20)</f>
        <v>40622</v>
      </c>
      <c r="F22" s="19" t="s">
        <v>51</v>
      </c>
      <c r="G22" s="13">
        <v>19</v>
      </c>
      <c r="H22" s="15">
        <v>58</v>
      </c>
    </row>
    <row r="23" spans="5:8" x14ac:dyDescent="0.4">
      <c r="E23" s="14">
        <f>DATE(2011,3,21)</f>
        <v>40623</v>
      </c>
      <c r="F23" s="19" t="s">
        <v>51</v>
      </c>
      <c r="G23" s="13">
        <v>16</v>
      </c>
      <c r="H23" s="15">
        <v>58</v>
      </c>
    </row>
    <row r="24" spans="5:8" x14ac:dyDescent="0.4">
      <c r="E24" s="14">
        <f>DATE(2011,3,22)</f>
        <v>40624</v>
      </c>
      <c r="F24" s="19" t="s">
        <v>51</v>
      </c>
      <c r="G24" s="13">
        <v>20</v>
      </c>
      <c r="H24" s="15">
        <v>58</v>
      </c>
    </row>
    <row r="25" spans="5:8" x14ac:dyDescent="0.4">
      <c r="E25" s="14">
        <f>DATE(2011,3,23)</f>
        <v>40625</v>
      </c>
      <c r="F25" s="19" t="s">
        <v>51</v>
      </c>
      <c r="G25" s="13">
        <v>9</v>
      </c>
      <c r="H25" s="15">
        <v>58</v>
      </c>
    </row>
    <row r="26" spans="5:8" x14ac:dyDescent="0.4">
      <c r="E26" s="14">
        <f>DATE(2011,3,24)</f>
        <v>40626</v>
      </c>
      <c r="F26" s="19" t="s">
        <v>51</v>
      </c>
      <c r="G26" s="13">
        <v>25</v>
      </c>
      <c r="H26" s="15">
        <v>58</v>
      </c>
    </row>
    <row r="27" spans="5:8" x14ac:dyDescent="0.4">
      <c r="E27" s="14">
        <f>DATE(2011,3,25)</f>
        <v>40627</v>
      </c>
      <c r="F27" s="19" t="s">
        <v>51</v>
      </c>
      <c r="G27" s="13">
        <v>13</v>
      </c>
      <c r="H27" s="15">
        <v>58</v>
      </c>
    </row>
    <row r="28" spans="5:8" x14ac:dyDescent="0.4">
      <c r="E28" s="14">
        <f>DATE(2011,3,26)</f>
        <v>40628</v>
      </c>
      <c r="F28" s="19" t="s">
        <v>51</v>
      </c>
      <c r="G28" s="13">
        <v>14</v>
      </c>
      <c r="H28" s="15">
        <v>58</v>
      </c>
    </row>
    <row r="29" spans="5:8" x14ac:dyDescent="0.4">
      <c r="E29" s="14">
        <f>DATE(2011,3,27)</f>
        <v>40629</v>
      </c>
      <c r="F29" s="19" t="s">
        <v>51</v>
      </c>
      <c r="G29" s="13">
        <v>13</v>
      </c>
      <c r="H29" s="15">
        <v>58</v>
      </c>
    </row>
    <row r="30" spans="5:8" x14ac:dyDescent="0.4">
      <c r="E30" s="14">
        <f>DATE(2011,3,28)</f>
        <v>40630</v>
      </c>
      <c r="F30" s="19" t="s">
        <v>51</v>
      </c>
      <c r="G30" s="13">
        <v>15</v>
      </c>
      <c r="H30" s="15">
        <v>58</v>
      </c>
    </row>
    <row r="31" spans="5:8" x14ac:dyDescent="0.4">
      <c r="E31" s="14">
        <f>DATE(2011,3,29)</f>
        <v>40631</v>
      </c>
      <c r="F31" s="19" t="s">
        <v>51</v>
      </c>
      <c r="G31" s="13">
        <v>18</v>
      </c>
      <c r="H31" s="15">
        <v>58</v>
      </c>
    </row>
    <row r="32" spans="5:8" x14ac:dyDescent="0.4">
      <c r="E32" s="14">
        <f>DATE(2011,3,30)</f>
        <v>40632</v>
      </c>
      <c r="F32" s="19" t="s">
        <v>51</v>
      </c>
      <c r="G32" s="13">
        <v>21</v>
      </c>
      <c r="H32" s="15">
        <v>58</v>
      </c>
    </row>
    <row r="33" spans="1:8" x14ac:dyDescent="0.4">
      <c r="E33" s="14">
        <f>DATE(2011,3,31)</f>
        <v>40633</v>
      </c>
      <c r="F33" s="19" t="s">
        <v>51</v>
      </c>
      <c r="G33" s="13">
        <v>15</v>
      </c>
      <c r="H33" s="15">
        <v>58</v>
      </c>
    </row>
    <row r="34" spans="1:8" s="18" customFormat="1" x14ac:dyDescent="0.4">
      <c r="A34" s="16">
        <v>2</v>
      </c>
      <c r="B34" s="16" t="s">
        <v>174</v>
      </c>
      <c r="C34" s="16" t="s">
        <v>208</v>
      </c>
      <c r="D34" s="16"/>
      <c r="E34" s="17" t="s">
        <v>601</v>
      </c>
      <c r="F34" s="46" t="s">
        <v>51</v>
      </c>
      <c r="G34" s="16">
        <v>1</v>
      </c>
      <c r="H34" s="18">
        <v>58</v>
      </c>
    </row>
    <row r="35" spans="1:8" s="18" customFormat="1" x14ac:dyDescent="0.4">
      <c r="A35" s="16"/>
      <c r="B35" s="16" t="s">
        <v>115</v>
      </c>
      <c r="C35" s="16" t="s">
        <v>113</v>
      </c>
      <c r="D35" s="16"/>
      <c r="E35" s="17">
        <f>DATE(2011,4,1)</f>
        <v>40634</v>
      </c>
      <c r="F35" s="46" t="s">
        <v>51</v>
      </c>
      <c r="G35" s="16">
        <v>15</v>
      </c>
      <c r="H35" s="18">
        <v>58</v>
      </c>
    </row>
    <row r="36" spans="1:8" s="18" customFormat="1" x14ac:dyDescent="0.4">
      <c r="A36" s="16"/>
      <c r="B36" s="16"/>
      <c r="C36" s="16"/>
      <c r="D36" s="16"/>
      <c r="E36" s="17">
        <f>DATE(2011,4,2)</f>
        <v>40635</v>
      </c>
      <c r="F36" s="46" t="s">
        <v>51</v>
      </c>
      <c r="G36" s="16">
        <v>19</v>
      </c>
      <c r="H36" s="18">
        <v>58</v>
      </c>
    </row>
    <row r="37" spans="1:8" s="18" customFormat="1" x14ac:dyDescent="0.4">
      <c r="A37" s="16"/>
      <c r="B37" s="16"/>
      <c r="C37" s="16"/>
      <c r="D37" s="16"/>
      <c r="E37" s="17">
        <f>DATE(2011,4,3)</f>
        <v>40636</v>
      </c>
      <c r="F37" s="46" t="s">
        <v>51</v>
      </c>
      <c r="G37" s="16">
        <v>11</v>
      </c>
      <c r="H37" s="18">
        <v>58</v>
      </c>
    </row>
    <row r="38" spans="1:8" s="18" customFormat="1" x14ac:dyDescent="0.4">
      <c r="A38" s="16"/>
      <c r="B38" s="16"/>
      <c r="C38" s="16"/>
      <c r="D38" s="16"/>
      <c r="E38" s="17">
        <f>DATE(2011,4,4)</f>
        <v>40637</v>
      </c>
      <c r="F38" s="46" t="s">
        <v>51</v>
      </c>
      <c r="G38" s="16">
        <v>8</v>
      </c>
      <c r="H38" s="18">
        <v>58</v>
      </c>
    </row>
    <row r="39" spans="1:8" s="18" customFormat="1" x14ac:dyDescent="0.4">
      <c r="A39" s="16"/>
      <c r="B39" s="16"/>
      <c r="C39" s="16"/>
      <c r="D39" s="16"/>
      <c r="E39" s="17">
        <f>DATE(2011,4,5)</f>
        <v>40638</v>
      </c>
      <c r="F39" s="46" t="s">
        <v>51</v>
      </c>
      <c r="G39" s="16">
        <v>14</v>
      </c>
      <c r="H39" s="18">
        <v>58</v>
      </c>
    </row>
    <row r="40" spans="1:8" s="18" customFormat="1" x14ac:dyDescent="0.4">
      <c r="A40" s="16"/>
      <c r="B40" s="16"/>
      <c r="C40" s="16"/>
      <c r="D40" s="16"/>
      <c r="E40" s="17">
        <f>DATE(2011,4,6)</f>
        <v>40639</v>
      </c>
      <c r="F40" s="46" t="s">
        <v>51</v>
      </c>
      <c r="G40" s="16">
        <v>15</v>
      </c>
      <c r="H40" s="18">
        <v>58</v>
      </c>
    </row>
    <row r="41" spans="1:8" s="18" customFormat="1" x14ac:dyDescent="0.4">
      <c r="A41" s="16"/>
      <c r="B41" s="16"/>
      <c r="C41" s="16"/>
      <c r="D41" s="16"/>
      <c r="E41" s="17">
        <f>DATE(2011,4,7)</f>
        <v>40640</v>
      </c>
      <c r="F41" s="46" t="s">
        <v>51</v>
      </c>
      <c r="G41" s="16">
        <v>15</v>
      </c>
      <c r="H41" s="18">
        <v>58</v>
      </c>
    </row>
    <row r="42" spans="1:8" s="18" customFormat="1" x14ac:dyDescent="0.4">
      <c r="A42" s="16"/>
      <c r="B42" s="16"/>
      <c r="C42" s="16"/>
      <c r="D42" s="16"/>
      <c r="E42" s="17">
        <f>DATE(2011,4,8)</f>
        <v>40641</v>
      </c>
      <c r="F42" s="46" t="s">
        <v>51</v>
      </c>
      <c r="G42" s="16">
        <v>15</v>
      </c>
      <c r="H42" s="18">
        <v>58</v>
      </c>
    </row>
    <row r="43" spans="1:8" s="18" customFormat="1" x14ac:dyDescent="0.4">
      <c r="A43" s="16"/>
      <c r="B43" s="16"/>
      <c r="C43" s="16"/>
      <c r="D43" s="16"/>
      <c r="E43" s="17">
        <f>DATE(2011,4,9)</f>
        <v>40642</v>
      </c>
      <c r="F43" s="46" t="s">
        <v>51</v>
      </c>
      <c r="G43" s="16">
        <v>29</v>
      </c>
      <c r="H43" s="18">
        <v>58</v>
      </c>
    </row>
    <row r="44" spans="1:8" s="18" customFormat="1" x14ac:dyDescent="0.4">
      <c r="A44" s="16"/>
      <c r="B44" s="16"/>
      <c r="C44" s="16"/>
      <c r="D44" s="16"/>
      <c r="E44" s="17">
        <f>DATE(2011,4,10)</f>
        <v>40643</v>
      </c>
      <c r="F44" s="46" t="s">
        <v>51</v>
      </c>
      <c r="G44" s="16">
        <v>17</v>
      </c>
      <c r="H44" s="18">
        <v>58</v>
      </c>
    </row>
    <row r="45" spans="1:8" s="18" customFormat="1" x14ac:dyDescent="0.4">
      <c r="A45" s="16"/>
      <c r="B45" s="16"/>
      <c r="C45" s="16"/>
      <c r="D45" s="16"/>
      <c r="E45" s="17">
        <f>DATE(2011,4,11)</f>
        <v>40644</v>
      </c>
      <c r="F45" s="46" t="s">
        <v>51</v>
      </c>
      <c r="G45" s="16">
        <v>17</v>
      </c>
      <c r="H45" s="18">
        <v>58</v>
      </c>
    </row>
    <row r="46" spans="1:8" s="18" customFormat="1" x14ac:dyDescent="0.4">
      <c r="A46" s="16"/>
      <c r="B46" s="16"/>
      <c r="C46" s="16"/>
      <c r="D46" s="16"/>
      <c r="E46" s="17">
        <f>DATE(2011,4,12)</f>
        <v>40645</v>
      </c>
      <c r="F46" s="46" t="s">
        <v>51</v>
      </c>
      <c r="G46" s="16">
        <v>12</v>
      </c>
      <c r="H46" s="18">
        <v>58</v>
      </c>
    </row>
    <row r="47" spans="1:8" s="18" customFormat="1" x14ac:dyDescent="0.4">
      <c r="A47" s="16"/>
      <c r="B47" s="16"/>
      <c r="C47" s="16"/>
      <c r="D47" s="16"/>
      <c r="E47" s="17">
        <f>DATE(2011,4,13)</f>
        <v>40646</v>
      </c>
      <c r="F47" s="46" t="s">
        <v>51</v>
      </c>
      <c r="G47" s="16">
        <v>17</v>
      </c>
      <c r="H47" s="18">
        <v>58</v>
      </c>
    </row>
    <row r="48" spans="1:8" s="18" customFormat="1" x14ac:dyDescent="0.4">
      <c r="A48" s="16"/>
      <c r="B48" s="16"/>
      <c r="C48" s="16"/>
      <c r="D48" s="16"/>
      <c r="E48" s="17">
        <f>DATE(2011,4,14)</f>
        <v>40647</v>
      </c>
      <c r="F48" s="46" t="s">
        <v>51</v>
      </c>
      <c r="G48" s="16">
        <v>15</v>
      </c>
      <c r="H48" s="18">
        <v>58</v>
      </c>
    </row>
    <row r="49" spans="1:8" s="18" customFormat="1" x14ac:dyDescent="0.4">
      <c r="A49" s="16"/>
      <c r="B49" s="16"/>
      <c r="C49" s="16"/>
      <c r="D49" s="16"/>
      <c r="E49" s="17">
        <f>DATE(2011,4,15)</f>
        <v>40648</v>
      </c>
      <c r="F49" s="46" t="s">
        <v>51</v>
      </c>
      <c r="G49" s="16">
        <v>19</v>
      </c>
      <c r="H49" s="18">
        <v>58</v>
      </c>
    </row>
    <row r="50" spans="1:8" s="18" customFormat="1" x14ac:dyDescent="0.4">
      <c r="A50" s="16"/>
      <c r="B50" s="16"/>
      <c r="C50" s="16"/>
      <c r="D50" s="16"/>
      <c r="E50" s="17">
        <f>DATE(2011,4,16)</f>
        <v>40649</v>
      </c>
      <c r="F50" s="46" t="s">
        <v>51</v>
      </c>
      <c r="G50" s="16">
        <v>19</v>
      </c>
      <c r="H50" s="18">
        <v>58</v>
      </c>
    </row>
    <row r="51" spans="1:8" s="18" customFormat="1" x14ac:dyDescent="0.4">
      <c r="A51" s="16"/>
      <c r="B51" s="16"/>
      <c r="C51" s="16"/>
      <c r="D51" s="16"/>
      <c r="E51" s="17">
        <f>DATE(2011,4,17)</f>
        <v>40650</v>
      </c>
      <c r="F51" s="46" t="s">
        <v>51</v>
      </c>
      <c r="G51" s="16">
        <v>17</v>
      </c>
      <c r="H51" s="18">
        <v>58</v>
      </c>
    </row>
    <row r="52" spans="1:8" s="18" customFormat="1" x14ac:dyDescent="0.4">
      <c r="A52" s="16"/>
      <c r="B52" s="16"/>
      <c r="C52" s="16"/>
      <c r="D52" s="16"/>
      <c r="E52" s="17">
        <f>DATE(2011,4,18)</f>
        <v>40651</v>
      </c>
      <c r="F52" s="46" t="s">
        <v>51</v>
      </c>
      <c r="G52" s="16">
        <v>14</v>
      </c>
      <c r="H52" s="18">
        <v>58</v>
      </c>
    </row>
    <row r="53" spans="1:8" s="18" customFormat="1" x14ac:dyDescent="0.4">
      <c r="A53" s="16"/>
      <c r="B53" s="16"/>
      <c r="C53" s="16"/>
      <c r="D53" s="16"/>
      <c r="E53" s="17">
        <f>DATE(2011,4,19)</f>
        <v>40652</v>
      </c>
      <c r="F53" s="46" t="s">
        <v>51</v>
      </c>
      <c r="G53" s="16">
        <v>14</v>
      </c>
      <c r="H53" s="18">
        <v>58</v>
      </c>
    </row>
    <row r="54" spans="1:8" s="18" customFormat="1" x14ac:dyDescent="0.4">
      <c r="A54" s="16"/>
      <c r="B54" s="16"/>
      <c r="C54" s="16"/>
      <c r="D54" s="16"/>
      <c r="E54" s="17">
        <f>DATE(2011,4,20)</f>
        <v>40653</v>
      </c>
      <c r="F54" s="46" t="s">
        <v>51</v>
      </c>
      <c r="G54" s="16">
        <v>3</v>
      </c>
      <c r="H54" s="18">
        <v>58</v>
      </c>
    </row>
    <row r="55" spans="1:8" s="18" customFormat="1" x14ac:dyDescent="0.4">
      <c r="A55" s="16"/>
      <c r="B55" s="16"/>
      <c r="C55" s="16"/>
      <c r="D55" s="16"/>
      <c r="E55" s="17">
        <f>DATE(2011,4,21)</f>
        <v>40654</v>
      </c>
      <c r="F55" s="46" t="s">
        <v>51</v>
      </c>
      <c r="G55" s="16">
        <v>3</v>
      </c>
      <c r="H55" s="18">
        <v>58</v>
      </c>
    </row>
    <row r="56" spans="1:8" s="18" customFormat="1" x14ac:dyDescent="0.4">
      <c r="A56" s="16"/>
      <c r="B56" s="16"/>
      <c r="C56" s="16"/>
      <c r="D56" s="16"/>
      <c r="E56" s="17">
        <f>DATE(2011,4,22)</f>
        <v>40655</v>
      </c>
      <c r="F56" s="46" t="s">
        <v>51</v>
      </c>
      <c r="G56" s="16">
        <v>12</v>
      </c>
      <c r="H56" s="18">
        <v>58</v>
      </c>
    </row>
    <row r="57" spans="1:8" s="18" customFormat="1" x14ac:dyDescent="0.4">
      <c r="A57" s="16"/>
      <c r="B57" s="16"/>
      <c r="C57" s="16"/>
      <c r="D57" s="16"/>
      <c r="E57" s="17">
        <f>DATE(2011,4,23)</f>
        <v>40656</v>
      </c>
      <c r="F57" s="46" t="s">
        <v>51</v>
      </c>
      <c r="G57" s="16">
        <v>23</v>
      </c>
      <c r="H57" s="18">
        <v>58</v>
      </c>
    </row>
    <row r="58" spans="1:8" s="18" customFormat="1" x14ac:dyDescent="0.4">
      <c r="A58" s="16"/>
      <c r="B58" s="16"/>
      <c r="C58" s="16"/>
      <c r="D58" s="16"/>
      <c r="E58" s="17">
        <f>DATE(2011,4,24)</f>
        <v>40657</v>
      </c>
      <c r="F58" s="46" t="s">
        <v>51</v>
      </c>
      <c r="G58" s="16">
        <v>15</v>
      </c>
      <c r="H58" s="18">
        <v>58</v>
      </c>
    </row>
    <row r="59" spans="1:8" s="18" customFormat="1" x14ac:dyDescent="0.4">
      <c r="A59" s="16"/>
      <c r="B59" s="16"/>
      <c r="C59" s="16"/>
      <c r="D59" s="16"/>
      <c r="E59" s="17">
        <f>DATE(2011,4,25)</f>
        <v>40658</v>
      </c>
      <c r="F59" s="46" t="s">
        <v>51</v>
      </c>
      <c r="G59" s="16">
        <v>16</v>
      </c>
      <c r="H59" s="18">
        <v>58</v>
      </c>
    </row>
    <row r="60" spans="1:8" s="18" customFormat="1" x14ac:dyDescent="0.4">
      <c r="A60" s="16"/>
      <c r="B60" s="16"/>
      <c r="C60" s="16"/>
      <c r="D60" s="16"/>
      <c r="E60" s="17">
        <f>DATE(2011,4,26)</f>
        <v>40659</v>
      </c>
      <c r="F60" s="46" t="s">
        <v>51</v>
      </c>
      <c r="G60" s="16">
        <v>14</v>
      </c>
      <c r="H60" s="18">
        <v>58</v>
      </c>
    </row>
    <row r="61" spans="1:8" s="18" customFormat="1" x14ac:dyDescent="0.4">
      <c r="A61" s="16"/>
      <c r="B61" s="16"/>
      <c r="C61" s="16"/>
      <c r="D61" s="16"/>
      <c r="E61" s="17">
        <f>DATE(2011,4,27)</f>
        <v>40660</v>
      </c>
      <c r="F61" s="46" t="s">
        <v>51</v>
      </c>
      <c r="G61" s="16">
        <v>17</v>
      </c>
      <c r="H61" s="18">
        <v>58</v>
      </c>
    </row>
    <row r="62" spans="1:8" s="18" customFormat="1" x14ac:dyDescent="0.4">
      <c r="A62" s="16"/>
      <c r="B62" s="16"/>
      <c r="C62" s="16"/>
      <c r="D62" s="16"/>
      <c r="E62" s="17">
        <f>DATE(2011,4,28)</f>
        <v>40661</v>
      </c>
      <c r="F62" s="46" t="s">
        <v>51</v>
      </c>
      <c r="G62" s="16">
        <v>20</v>
      </c>
      <c r="H62" s="18">
        <v>58</v>
      </c>
    </row>
    <row r="63" spans="1:8" s="18" customFormat="1" x14ac:dyDescent="0.4">
      <c r="A63" s="16"/>
      <c r="B63" s="16"/>
      <c r="C63" s="16"/>
      <c r="D63" s="16"/>
      <c r="E63" s="17">
        <f>DATE(2011,4,29)</f>
        <v>40662</v>
      </c>
      <c r="F63" s="46" t="s">
        <v>51</v>
      </c>
      <c r="G63" s="16">
        <v>17</v>
      </c>
      <c r="H63" s="18">
        <v>58</v>
      </c>
    </row>
    <row r="64" spans="1:8" s="18" customFormat="1" x14ac:dyDescent="0.4">
      <c r="A64" s="16"/>
      <c r="B64" s="16"/>
      <c r="C64" s="16"/>
      <c r="D64" s="16"/>
      <c r="E64" s="17">
        <f>DATE(2011,4,30)</f>
        <v>40663</v>
      </c>
      <c r="F64" s="46" t="s">
        <v>51</v>
      </c>
      <c r="G64" s="16">
        <v>15</v>
      </c>
      <c r="H64" s="18">
        <v>58</v>
      </c>
    </row>
    <row r="65" spans="5:7" x14ac:dyDescent="0.4">
      <c r="E65" s="14"/>
      <c r="G65" s="13">
        <f>SUM(G3:G64)</f>
        <v>935</v>
      </c>
    </row>
    <row r="66" spans="5:7" x14ac:dyDescent="0.4">
      <c r="E66" s="14"/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600B-2B39-4398-BB34-834D8A2C230D}">
  <dimension ref="A1:H14"/>
  <sheetViews>
    <sheetView workbookViewId="0">
      <selection activeCell="G14" sqref="G14"/>
    </sheetView>
  </sheetViews>
  <sheetFormatPr defaultColWidth="11.5546875" defaultRowHeight="12" x14ac:dyDescent="0.4"/>
  <cols>
    <col min="1" max="1" width="4.5546875" style="13" customWidth="1"/>
    <col min="2" max="2" width="37.5546875" style="15" customWidth="1"/>
    <col min="3" max="3" width="16.77734375" style="13" customWidth="1"/>
    <col min="4" max="4" width="11.21875" style="13" customWidth="1"/>
    <col min="5" max="5" width="13.6640625" style="14" customWidth="1"/>
    <col min="6" max="6" width="8.109375" style="19" customWidth="1"/>
    <col min="7" max="7" width="4.3320312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602</v>
      </c>
      <c r="B1" s="95"/>
      <c r="C1" s="95"/>
      <c r="E1" s="28"/>
      <c r="F1" s="22"/>
    </row>
    <row r="2" spans="1:8" s="12" customFormat="1" x14ac:dyDescent="0.4">
      <c r="A2" s="10" t="s">
        <v>0</v>
      </c>
      <c r="B2" s="12" t="s">
        <v>41</v>
      </c>
      <c r="C2" s="10" t="s">
        <v>42</v>
      </c>
      <c r="D2" s="10" t="s">
        <v>43</v>
      </c>
      <c r="E2" s="32" t="s">
        <v>44</v>
      </c>
      <c r="F2" s="10" t="s">
        <v>45</v>
      </c>
      <c r="G2" s="10" t="s">
        <v>46</v>
      </c>
      <c r="H2" s="12" t="s">
        <v>47</v>
      </c>
    </row>
    <row r="3" spans="1:8" x14ac:dyDescent="0.4">
      <c r="A3" s="15">
        <v>1</v>
      </c>
      <c r="B3" s="15" t="s">
        <v>254</v>
      </c>
      <c r="C3" s="15" t="s">
        <v>77</v>
      </c>
      <c r="D3" s="15"/>
      <c r="E3" s="26" t="s">
        <v>603</v>
      </c>
      <c r="F3" s="29" t="s">
        <v>51</v>
      </c>
      <c r="G3" s="15">
        <v>1</v>
      </c>
      <c r="H3" s="15">
        <v>58</v>
      </c>
    </row>
    <row r="4" spans="1:8" x14ac:dyDescent="0.4">
      <c r="A4" s="15"/>
      <c r="B4" s="15" t="s">
        <v>112</v>
      </c>
      <c r="C4" s="15" t="s">
        <v>75</v>
      </c>
      <c r="D4" s="15"/>
      <c r="E4" s="24">
        <f>DATE(2001,12,2)</f>
        <v>37227</v>
      </c>
      <c r="F4" s="29" t="s">
        <v>51</v>
      </c>
      <c r="G4" s="15">
        <v>12</v>
      </c>
      <c r="H4" s="15">
        <v>58</v>
      </c>
    </row>
    <row r="5" spans="1:8" x14ac:dyDescent="0.4">
      <c r="A5" s="15"/>
      <c r="C5" s="15"/>
      <c r="D5" s="15"/>
      <c r="E5" s="24">
        <f>DATE(2001,12,3)</f>
        <v>37228</v>
      </c>
      <c r="F5" s="29" t="s">
        <v>51</v>
      </c>
      <c r="G5" s="15">
        <v>5</v>
      </c>
      <c r="H5" s="15">
        <v>58</v>
      </c>
    </row>
    <row r="6" spans="1:8" x14ac:dyDescent="0.4">
      <c r="A6" s="15"/>
      <c r="C6" s="15"/>
      <c r="D6" s="15"/>
      <c r="E6" s="24">
        <f>DATE(2001,12,5)</f>
        <v>37230</v>
      </c>
      <c r="F6" s="29" t="s">
        <v>51</v>
      </c>
      <c r="G6" s="15">
        <v>1</v>
      </c>
      <c r="H6" s="15">
        <v>58</v>
      </c>
    </row>
    <row r="7" spans="1:8" x14ac:dyDescent="0.4">
      <c r="A7" s="15"/>
      <c r="C7" s="15"/>
      <c r="D7" s="15"/>
      <c r="E7" s="24">
        <f>DATE(2001,12,6)</f>
        <v>37231</v>
      </c>
      <c r="F7" s="29" t="s">
        <v>51</v>
      </c>
      <c r="G7" s="15">
        <v>2</v>
      </c>
      <c r="H7" s="15">
        <v>58</v>
      </c>
    </row>
    <row r="8" spans="1:8" x14ac:dyDescent="0.4">
      <c r="A8" s="15"/>
      <c r="C8" s="15"/>
      <c r="D8" s="15"/>
      <c r="E8" s="24">
        <f>DATE(2001,12,10)</f>
        <v>37235</v>
      </c>
      <c r="F8" s="29" t="s">
        <v>51</v>
      </c>
      <c r="G8" s="15">
        <v>3</v>
      </c>
      <c r="H8" s="15">
        <v>58</v>
      </c>
    </row>
    <row r="9" spans="1:8" x14ac:dyDescent="0.4">
      <c r="A9" s="15"/>
      <c r="C9" s="15"/>
      <c r="D9" s="15"/>
      <c r="E9" s="24">
        <f>DATE(2001,12,11)</f>
        <v>37236</v>
      </c>
      <c r="F9" s="29" t="s">
        <v>51</v>
      </c>
      <c r="G9" s="15">
        <v>2</v>
      </c>
      <c r="H9" s="15">
        <v>58</v>
      </c>
    </row>
    <row r="10" spans="1:8" x14ac:dyDescent="0.4">
      <c r="A10" s="15"/>
      <c r="C10" s="15"/>
      <c r="D10" s="15"/>
      <c r="E10" s="24">
        <f>DATE(2001,12,13)</f>
        <v>37238</v>
      </c>
      <c r="F10" s="29" t="s">
        <v>51</v>
      </c>
      <c r="G10" s="15">
        <v>6</v>
      </c>
      <c r="H10" s="15">
        <v>58</v>
      </c>
    </row>
    <row r="11" spans="1:8" x14ac:dyDescent="0.4">
      <c r="A11" s="15"/>
      <c r="C11" s="15"/>
      <c r="D11" s="15"/>
      <c r="E11" s="24">
        <f>DATE(2001,12,16)</f>
        <v>37241</v>
      </c>
      <c r="F11" s="29" t="s">
        <v>51</v>
      </c>
      <c r="G11" s="15">
        <v>6</v>
      </c>
      <c r="H11" s="15">
        <v>58</v>
      </c>
    </row>
    <row r="12" spans="1:8" x14ac:dyDescent="0.4">
      <c r="A12" s="15"/>
      <c r="C12" s="15"/>
      <c r="D12" s="15"/>
      <c r="E12" s="24">
        <f>DATE(2001,12,18)</f>
        <v>37243</v>
      </c>
      <c r="F12" s="29" t="s">
        <v>51</v>
      </c>
      <c r="G12" s="15">
        <v>2</v>
      </c>
      <c r="H12" s="15">
        <v>58</v>
      </c>
    </row>
    <row r="13" spans="1:8" s="18" customFormat="1" x14ac:dyDescent="0.4">
      <c r="A13" s="16">
        <v>2</v>
      </c>
      <c r="B13" s="27" t="s">
        <v>276</v>
      </c>
      <c r="C13" s="16"/>
      <c r="D13" s="16"/>
      <c r="E13" s="17"/>
      <c r="F13" s="46" t="s">
        <v>87</v>
      </c>
      <c r="G13" s="16">
        <v>2</v>
      </c>
      <c r="H13" s="18">
        <v>58</v>
      </c>
    </row>
    <row r="14" spans="1:8" x14ac:dyDescent="0.4">
      <c r="G14" s="13">
        <f>SUM(G3:G13)</f>
        <v>42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1CF84-1A7C-45C4-842E-B599FFEAFAE3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3.5546875" style="13" customWidth="1"/>
    <col min="2" max="2" width="21.109375" style="13" customWidth="1"/>
    <col min="3" max="3" width="18.5546875" style="13" customWidth="1"/>
    <col min="4" max="4" width="35.44140625" style="13" customWidth="1"/>
    <col min="5" max="5" width="10.77734375" style="14" customWidth="1"/>
    <col min="6" max="6" width="8.6640625" style="19" customWidth="1"/>
    <col min="7" max="7" width="4.5546875" style="13" customWidth="1"/>
    <col min="8" max="8" width="3.6640625" style="15" customWidth="1"/>
    <col min="9" max="16384" width="11.5546875" style="15"/>
  </cols>
  <sheetData>
    <row r="1" spans="1:8" s="21" customFormat="1" x14ac:dyDescent="0.4">
      <c r="A1" s="95" t="s">
        <v>604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48</v>
      </c>
      <c r="D3" s="13" t="s">
        <v>605</v>
      </c>
      <c r="E3" s="14" t="s">
        <v>50</v>
      </c>
      <c r="F3" s="19" t="s">
        <v>51</v>
      </c>
      <c r="G3" s="13">
        <v>4</v>
      </c>
      <c r="H3" s="15">
        <v>58</v>
      </c>
    </row>
    <row r="4" spans="1:8" x14ac:dyDescent="0.4">
      <c r="G4" s="13">
        <f>SUM(G3)</f>
        <v>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9EEF-6B8F-4DF7-B1C2-492554721A50}">
  <dimension ref="A1:H22"/>
  <sheetViews>
    <sheetView topLeftCell="A3" workbookViewId="0">
      <selection activeCell="G22" sqref="G22"/>
    </sheetView>
  </sheetViews>
  <sheetFormatPr defaultColWidth="11.5546875" defaultRowHeight="12" x14ac:dyDescent="0.4"/>
  <cols>
    <col min="1" max="1" width="3.5546875" style="13" customWidth="1"/>
    <col min="2" max="2" width="38.44140625" style="13" customWidth="1"/>
    <col min="3" max="3" width="18.5546875" style="13" customWidth="1"/>
    <col min="4" max="4" width="19.33203125" style="13" customWidth="1"/>
    <col min="5" max="5" width="15.6640625" style="14" customWidth="1"/>
    <col min="6" max="6" width="8" style="19" customWidth="1"/>
    <col min="7" max="7" width="4.55468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606</v>
      </c>
      <c r="B1" s="95"/>
      <c r="C1" s="95"/>
      <c r="E1" s="28"/>
      <c r="F1" s="22"/>
    </row>
    <row r="2" spans="1:8" s="12" customFormat="1" x14ac:dyDescent="0.4">
      <c r="A2" s="10" t="s">
        <v>0</v>
      </c>
      <c r="B2" s="10" t="s">
        <v>41</v>
      </c>
      <c r="C2" s="10" t="s">
        <v>42</v>
      </c>
      <c r="D2" s="10" t="s">
        <v>43</v>
      </c>
      <c r="E2" s="32" t="s">
        <v>44</v>
      </c>
      <c r="F2" s="10" t="s">
        <v>45</v>
      </c>
      <c r="G2" s="10" t="s">
        <v>46</v>
      </c>
      <c r="H2" s="12" t="s">
        <v>47</v>
      </c>
    </row>
    <row r="3" spans="1:8" x14ac:dyDescent="0.4">
      <c r="A3" s="13">
        <v>1</v>
      </c>
      <c r="B3" s="13" t="s">
        <v>140</v>
      </c>
      <c r="C3" s="13" t="s">
        <v>170</v>
      </c>
      <c r="D3" s="13" t="s">
        <v>607</v>
      </c>
      <c r="E3" s="14">
        <f>DATE(2005,3,16)</f>
        <v>38427</v>
      </c>
      <c r="F3" s="19" t="s">
        <v>51</v>
      </c>
      <c r="G3" s="13">
        <v>6</v>
      </c>
      <c r="H3" s="15">
        <v>58</v>
      </c>
    </row>
    <row r="4" spans="1:8" s="18" customFormat="1" x14ac:dyDescent="0.4">
      <c r="A4" s="16">
        <v>2</v>
      </c>
      <c r="B4" s="16" t="s">
        <v>254</v>
      </c>
      <c r="C4" s="16" t="s">
        <v>208</v>
      </c>
      <c r="D4" s="16"/>
      <c r="E4" s="17" t="s">
        <v>179</v>
      </c>
      <c r="F4" s="46" t="s">
        <v>51</v>
      </c>
      <c r="G4" s="16">
        <v>1</v>
      </c>
      <c r="H4" s="18">
        <v>58</v>
      </c>
    </row>
    <row r="5" spans="1:8" s="18" customFormat="1" x14ac:dyDescent="0.4">
      <c r="A5" s="16"/>
      <c r="B5" s="16" t="s">
        <v>147</v>
      </c>
      <c r="C5" s="16" t="s">
        <v>113</v>
      </c>
      <c r="D5" s="16"/>
      <c r="E5" s="17">
        <f>DATE(2005,8,1)</f>
        <v>38565</v>
      </c>
      <c r="F5" s="46" t="s">
        <v>51</v>
      </c>
      <c r="G5" s="16">
        <v>1</v>
      </c>
      <c r="H5" s="18">
        <v>58</v>
      </c>
    </row>
    <row r="6" spans="1:8" s="18" customFormat="1" x14ac:dyDescent="0.4">
      <c r="A6" s="16"/>
      <c r="B6" s="16"/>
      <c r="C6" s="16"/>
      <c r="D6" s="16"/>
      <c r="E6" s="17">
        <f>DATE(2005,8,6)</f>
        <v>38570</v>
      </c>
      <c r="F6" s="46" t="s">
        <v>51</v>
      </c>
      <c r="G6" s="16">
        <v>1</v>
      </c>
      <c r="H6" s="18">
        <v>58</v>
      </c>
    </row>
    <row r="7" spans="1:8" s="18" customFormat="1" x14ac:dyDescent="0.4">
      <c r="A7" s="16"/>
      <c r="B7" s="16"/>
      <c r="C7" s="16"/>
      <c r="D7" s="16"/>
      <c r="E7" s="17">
        <f>DATE(2005,8,13)</f>
        <v>38577</v>
      </c>
      <c r="F7" s="46" t="s">
        <v>51</v>
      </c>
      <c r="G7" s="16">
        <v>1</v>
      </c>
      <c r="H7" s="18">
        <v>58</v>
      </c>
    </row>
    <row r="8" spans="1:8" s="18" customFormat="1" x14ac:dyDescent="0.4">
      <c r="A8" s="16"/>
      <c r="B8" s="16"/>
      <c r="C8" s="16"/>
      <c r="D8" s="16"/>
      <c r="E8" s="17">
        <f>DATE(2005,8,17)</f>
        <v>38581</v>
      </c>
      <c r="F8" s="46" t="s">
        <v>51</v>
      </c>
      <c r="G8" s="16">
        <v>1</v>
      </c>
      <c r="H8" s="18">
        <v>58</v>
      </c>
    </row>
    <row r="9" spans="1:8" s="18" customFormat="1" x14ac:dyDescent="0.4">
      <c r="A9" s="16"/>
      <c r="B9" s="16"/>
      <c r="C9" s="16"/>
      <c r="D9" s="16"/>
      <c r="E9" s="17">
        <f>DATE(2005,8,20)</f>
        <v>38584</v>
      </c>
      <c r="F9" s="46" t="s">
        <v>51</v>
      </c>
      <c r="G9" s="16">
        <v>2</v>
      </c>
      <c r="H9" s="18">
        <v>58</v>
      </c>
    </row>
    <row r="10" spans="1:8" s="18" customFormat="1" x14ac:dyDescent="0.4">
      <c r="A10" s="16"/>
      <c r="B10" s="35"/>
      <c r="C10" s="16"/>
      <c r="D10" s="16"/>
      <c r="E10" s="17">
        <f>DATE(2005,8,21)</f>
        <v>38585</v>
      </c>
      <c r="F10" s="46" t="s">
        <v>51</v>
      </c>
      <c r="G10" s="16">
        <v>2</v>
      </c>
      <c r="H10" s="18">
        <v>58</v>
      </c>
    </row>
    <row r="11" spans="1:8" x14ac:dyDescent="0.4">
      <c r="A11" s="15">
        <v>3</v>
      </c>
      <c r="B11" s="15" t="s">
        <v>262</v>
      </c>
      <c r="C11" s="15" t="s">
        <v>208</v>
      </c>
      <c r="D11" s="15"/>
      <c r="E11" s="26" t="s">
        <v>608</v>
      </c>
      <c r="F11" s="29" t="s">
        <v>51</v>
      </c>
      <c r="G11" s="15">
        <v>1</v>
      </c>
      <c r="H11" s="15">
        <v>58</v>
      </c>
    </row>
    <row r="12" spans="1:8" x14ac:dyDescent="0.4">
      <c r="A12" s="15"/>
      <c r="B12" s="15" t="s">
        <v>112</v>
      </c>
      <c r="C12" s="15" t="s">
        <v>113</v>
      </c>
      <c r="D12" s="15"/>
      <c r="E12" s="24">
        <f>DATE(2006,5,1)</f>
        <v>38838</v>
      </c>
      <c r="F12" s="29" t="s">
        <v>51</v>
      </c>
      <c r="G12" s="15">
        <v>1</v>
      </c>
      <c r="H12" s="15">
        <v>58</v>
      </c>
    </row>
    <row r="13" spans="1:8" x14ac:dyDescent="0.4">
      <c r="A13" s="15"/>
      <c r="B13" s="15"/>
      <c r="C13" s="15"/>
      <c r="D13" s="15"/>
      <c r="E13" s="24">
        <f>DATE(2006,5,9)</f>
        <v>38846</v>
      </c>
      <c r="F13" s="29" t="s">
        <v>51</v>
      </c>
      <c r="G13" s="15">
        <v>1</v>
      </c>
      <c r="H13" s="15">
        <v>58</v>
      </c>
    </row>
    <row r="14" spans="1:8" x14ac:dyDescent="0.4">
      <c r="A14" s="15"/>
      <c r="B14" s="15"/>
      <c r="C14" s="15"/>
      <c r="D14" s="15"/>
      <c r="E14" s="24">
        <f>DATE(2006,5,17)</f>
        <v>38854</v>
      </c>
      <c r="F14" s="29" t="s">
        <v>51</v>
      </c>
      <c r="G14" s="15">
        <v>2</v>
      </c>
      <c r="H14" s="15">
        <v>58</v>
      </c>
    </row>
    <row r="15" spans="1:8" s="18" customFormat="1" x14ac:dyDescent="0.4">
      <c r="A15" s="16">
        <v>4</v>
      </c>
      <c r="B15" s="16" t="s">
        <v>262</v>
      </c>
      <c r="C15" s="16" t="s">
        <v>208</v>
      </c>
      <c r="D15" s="16"/>
      <c r="E15" s="17" t="s">
        <v>181</v>
      </c>
      <c r="F15" s="46" t="s">
        <v>51</v>
      </c>
      <c r="G15" s="16">
        <v>1</v>
      </c>
      <c r="H15" s="18">
        <v>58</v>
      </c>
    </row>
    <row r="16" spans="1:8" s="18" customFormat="1" x14ac:dyDescent="0.4">
      <c r="A16" s="16"/>
      <c r="B16" s="16" t="s">
        <v>112</v>
      </c>
      <c r="C16" s="16" t="s">
        <v>113</v>
      </c>
      <c r="D16" s="16"/>
      <c r="E16" s="17">
        <f>DATE(2006,6,21)</f>
        <v>38889</v>
      </c>
      <c r="F16" s="46" t="s">
        <v>51</v>
      </c>
      <c r="G16" s="16">
        <v>2</v>
      </c>
      <c r="H16" s="18">
        <v>58</v>
      </c>
    </row>
    <row r="17" spans="1:8" x14ac:dyDescent="0.4">
      <c r="A17" s="15">
        <v>5</v>
      </c>
      <c r="B17" s="15" t="s">
        <v>262</v>
      </c>
      <c r="C17" s="15" t="s">
        <v>208</v>
      </c>
      <c r="D17" s="15"/>
      <c r="E17" s="29" t="s">
        <v>182</v>
      </c>
      <c r="F17" s="29" t="s">
        <v>51</v>
      </c>
      <c r="G17" s="15">
        <v>1</v>
      </c>
      <c r="H17" s="15">
        <v>58</v>
      </c>
    </row>
    <row r="18" spans="1:8" s="18" customFormat="1" x14ac:dyDescent="0.4">
      <c r="A18" s="18">
        <v>6</v>
      </c>
      <c r="B18" s="18" t="s">
        <v>262</v>
      </c>
      <c r="C18" s="18" t="s">
        <v>208</v>
      </c>
      <c r="E18" s="33" t="s">
        <v>609</v>
      </c>
      <c r="F18" s="33" t="s">
        <v>51</v>
      </c>
      <c r="G18" s="18">
        <v>1</v>
      </c>
      <c r="H18" s="18">
        <v>58</v>
      </c>
    </row>
    <row r="19" spans="1:8" s="18" customFormat="1" x14ac:dyDescent="0.4">
      <c r="B19" s="18" t="s">
        <v>112</v>
      </c>
      <c r="C19" s="18" t="s">
        <v>113</v>
      </c>
      <c r="E19" s="25">
        <f>DATE(2006,8,6)</f>
        <v>38935</v>
      </c>
      <c r="F19" s="33" t="s">
        <v>51</v>
      </c>
      <c r="G19" s="18">
        <v>1</v>
      </c>
      <c r="H19" s="18">
        <v>58</v>
      </c>
    </row>
    <row r="20" spans="1:8" x14ac:dyDescent="0.4">
      <c r="A20" s="15">
        <v>7</v>
      </c>
      <c r="B20" s="15" t="s">
        <v>610</v>
      </c>
      <c r="C20" s="15"/>
      <c r="D20" s="15"/>
      <c r="E20" s="24">
        <f>DATE(2006,9,26)</f>
        <v>38986</v>
      </c>
      <c r="F20" s="29" t="s">
        <v>87</v>
      </c>
      <c r="G20" s="15">
        <v>5</v>
      </c>
      <c r="H20" s="15">
        <v>58</v>
      </c>
    </row>
    <row r="21" spans="1:8" s="18" customFormat="1" x14ac:dyDescent="0.4">
      <c r="A21" s="16">
        <v>8</v>
      </c>
      <c r="B21" s="16" t="s">
        <v>611</v>
      </c>
      <c r="C21" s="16"/>
      <c r="D21" s="16"/>
      <c r="E21" s="17">
        <f>DATE(2006,10,5)</f>
        <v>38995</v>
      </c>
      <c r="F21" s="46" t="s">
        <v>87</v>
      </c>
      <c r="G21" s="16">
        <v>1</v>
      </c>
      <c r="H21" s="18">
        <v>58</v>
      </c>
    </row>
    <row r="22" spans="1:8" x14ac:dyDescent="0.4">
      <c r="G22" s="13">
        <f>SUM(G3:G21)</f>
        <v>32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476A-079A-48F3-825E-C854FCE11AE9}">
  <dimension ref="A1:H4"/>
  <sheetViews>
    <sheetView workbookViewId="0">
      <selection activeCell="G4" sqref="G4"/>
    </sheetView>
  </sheetViews>
  <sheetFormatPr defaultColWidth="11.5546875" defaultRowHeight="12" x14ac:dyDescent="0.4"/>
  <cols>
    <col min="1" max="1" width="4.5546875" style="13" customWidth="1"/>
    <col min="2" max="2" width="26.109375" style="13" customWidth="1"/>
    <col min="3" max="3" width="15.77734375" style="13" customWidth="1"/>
    <col min="4" max="4" width="23.33203125" style="13" customWidth="1"/>
    <col min="5" max="5" width="9.5546875" style="19" customWidth="1"/>
    <col min="6" max="6" width="8.109375" style="19" customWidth="1"/>
    <col min="7" max="7" width="6.109375" style="13" customWidth="1"/>
    <col min="8" max="8" width="3.44140625" style="15" customWidth="1"/>
    <col min="9" max="16384" width="11.5546875" style="15"/>
  </cols>
  <sheetData>
    <row r="1" spans="1:8" s="21" customFormat="1" x14ac:dyDescent="0.4">
      <c r="A1" s="95" t="s">
        <v>612</v>
      </c>
      <c r="B1" s="95"/>
      <c r="C1" s="95"/>
      <c r="E1" s="22"/>
      <c r="F1" s="22"/>
    </row>
    <row r="2" spans="1:8" s="12" customFormat="1" x14ac:dyDescent="0.4">
      <c r="A2" s="10" t="s">
        <v>0</v>
      </c>
      <c r="B2" s="10" t="s">
        <v>41</v>
      </c>
      <c r="C2" s="10" t="s">
        <v>42</v>
      </c>
      <c r="D2" s="10" t="s">
        <v>43</v>
      </c>
      <c r="E2" s="11" t="s">
        <v>44</v>
      </c>
      <c r="F2" s="76" t="s">
        <v>45</v>
      </c>
      <c r="G2" s="10" t="s">
        <v>46</v>
      </c>
      <c r="H2" s="12" t="s">
        <v>47</v>
      </c>
    </row>
    <row r="3" spans="1:8" x14ac:dyDescent="0.4">
      <c r="A3" s="13">
        <v>1</v>
      </c>
      <c r="B3" s="13" t="s">
        <v>48</v>
      </c>
      <c r="D3" s="13" t="s">
        <v>613</v>
      </c>
      <c r="E3" s="19" t="s">
        <v>50</v>
      </c>
      <c r="F3" s="19" t="s">
        <v>51</v>
      </c>
      <c r="G3" s="13">
        <v>7</v>
      </c>
      <c r="H3" s="15">
        <v>58</v>
      </c>
    </row>
    <row r="4" spans="1:8" x14ac:dyDescent="0.4">
      <c r="G4" s="13">
        <f>SUM(G3)</f>
        <v>7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CC172-A308-4799-9F19-07A9AC79A23A}">
  <dimension ref="A1:H8"/>
  <sheetViews>
    <sheetView workbookViewId="0">
      <selection activeCell="C122" sqref="C122"/>
    </sheetView>
  </sheetViews>
  <sheetFormatPr defaultColWidth="11.5546875" defaultRowHeight="12" x14ac:dyDescent="0.4"/>
  <cols>
    <col min="1" max="1" width="4.5546875" style="13" customWidth="1"/>
    <col min="2" max="2" width="40.109375" style="13" customWidth="1"/>
    <col min="3" max="3" width="15.77734375" style="13" customWidth="1"/>
    <col min="4" max="4" width="17.109375" style="13" customWidth="1"/>
    <col min="5" max="5" width="15.88671875" style="19" customWidth="1"/>
    <col min="6" max="6" width="8.88671875" style="19" customWidth="1"/>
    <col min="7" max="7" width="6.109375" style="13" customWidth="1"/>
    <col min="8" max="8" width="3.88671875" style="15" customWidth="1"/>
    <col min="9" max="16384" width="11.5546875" style="15"/>
  </cols>
  <sheetData>
    <row r="1" spans="1:8" s="21" customFormat="1" x14ac:dyDescent="0.4">
      <c r="A1" s="95" t="s">
        <v>614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53</v>
      </c>
      <c r="C3" s="13" t="s">
        <v>64</v>
      </c>
      <c r="D3" s="13" t="s">
        <v>615</v>
      </c>
      <c r="E3" s="14">
        <f>DATE(1994,3,25)</f>
        <v>34418</v>
      </c>
      <c r="F3" s="19" t="s">
        <v>51</v>
      </c>
      <c r="G3" s="13">
        <v>17</v>
      </c>
      <c r="H3" s="15">
        <v>58</v>
      </c>
    </row>
    <row r="4" spans="1:8" s="18" customFormat="1" x14ac:dyDescent="0.4">
      <c r="A4" s="16">
        <v>2</v>
      </c>
      <c r="B4" s="16" t="s">
        <v>56</v>
      </c>
      <c r="C4" s="16" t="s">
        <v>64</v>
      </c>
      <c r="D4" s="16" t="s">
        <v>616</v>
      </c>
      <c r="E4" s="17">
        <f>DATE(1995,2,27)</f>
        <v>34757</v>
      </c>
      <c r="F4" s="46" t="s">
        <v>51</v>
      </c>
      <c r="G4" s="16">
        <v>28</v>
      </c>
      <c r="H4" s="18">
        <v>58</v>
      </c>
    </row>
    <row r="5" spans="1:8" x14ac:dyDescent="0.4">
      <c r="A5" s="13">
        <v>3</v>
      </c>
      <c r="B5" s="13" t="s">
        <v>97</v>
      </c>
      <c r="E5" s="14" t="s">
        <v>50</v>
      </c>
      <c r="F5" s="19" t="s">
        <v>51</v>
      </c>
      <c r="G5" s="13">
        <v>1</v>
      </c>
      <c r="H5" s="15">
        <v>58</v>
      </c>
    </row>
    <row r="6" spans="1:8" s="18" customFormat="1" x14ac:dyDescent="0.4">
      <c r="A6" s="16">
        <v>4</v>
      </c>
      <c r="B6" s="16" t="s">
        <v>617</v>
      </c>
      <c r="C6" s="16" t="s">
        <v>189</v>
      </c>
      <c r="D6" s="16" t="s">
        <v>616</v>
      </c>
      <c r="E6" s="17">
        <f>DATE(1995,2,18)</f>
        <v>34748</v>
      </c>
      <c r="F6" s="46" t="s">
        <v>51</v>
      </c>
      <c r="G6" s="16">
        <v>11</v>
      </c>
      <c r="H6" s="18">
        <v>58</v>
      </c>
    </row>
    <row r="7" spans="1:8" x14ac:dyDescent="0.4">
      <c r="A7" s="13">
        <v>5</v>
      </c>
      <c r="B7" s="13" t="s">
        <v>83</v>
      </c>
      <c r="E7" s="14" t="s">
        <v>50</v>
      </c>
      <c r="F7" s="19" t="s">
        <v>51</v>
      </c>
      <c r="G7" s="13">
        <v>2</v>
      </c>
      <c r="H7" s="15">
        <v>58</v>
      </c>
    </row>
    <row r="8" spans="1:8" x14ac:dyDescent="0.4">
      <c r="G8" s="13">
        <f>SUM(G3:G7)</f>
        <v>59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6D33D-F9EA-487F-B084-A20CD94EB041}">
  <dimension ref="A1:H55"/>
  <sheetViews>
    <sheetView tabSelected="1" topLeftCell="A19" workbookViewId="0">
      <selection activeCell="B55" sqref="B55"/>
    </sheetView>
  </sheetViews>
  <sheetFormatPr defaultColWidth="11.5546875" defaultRowHeight="12" x14ac:dyDescent="0.4"/>
  <cols>
    <col min="1" max="1" width="4.5546875" style="13" customWidth="1"/>
    <col min="2" max="2" width="40.21875" style="13" customWidth="1"/>
    <col min="3" max="3" width="14" style="13" customWidth="1"/>
    <col min="4" max="4" width="36.6640625" style="13" customWidth="1"/>
    <col min="5" max="5" width="15.21875" style="14" customWidth="1"/>
    <col min="6" max="6" width="8.109375" style="19" customWidth="1"/>
    <col min="7" max="7" width="4.33203125" style="13" customWidth="1"/>
    <col min="8" max="8" width="4.21875" style="15" customWidth="1"/>
    <col min="9" max="16384" width="11.5546875" style="15"/>
  </cols>
  <sheetData>
    <row r="1" spans="1:8" s="21" customFormat="1" x14ac:dyDescent="0.4">
      <c r="A1" s="95" t="s">
        <v>618</v>
      </c>
      <c r="B1" s="95"/>
      <c r="C1" s="95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s="18" customFormat="1" x14ac:dyDescent="0.4">
      <c r="A3" s="16">
        <v>1</v>
      </c>
      <c r="B3" s="16" t="s">
        <v>619</v>
      </c>
      <c r="C3" s="16" t="s">
        <v>594</v>
      </c>
      <c r="D3" s="16" t="s">
        <v>620</v>
      </c>
      <c r="E3" s="17">
        <f>DATE(1967,2,6)</f>
        <v>24509</v>
      </c>
      <c r="F3" s="46" t="s">
        <v>294</v>
      </c>
      <c r="G3" s="16">
        <v>27</v>
      </c>
      <c r="H3" s="18">
        <v>58</v>
      </c>
    </row>
    <row r="4" spans="1:8" x14ac:dyDescent="0.4">
      <c r="A4" s="13">
        <v>2</v>
      </c>
      <c r="B4" s="13" t="s">
        <v>76</v>
      </c>
      <c r="C4" s="13" t="s">
        <v>208</v>
      </c>
      <c r="E4" s="14" t="s">
        <v>621</v>
      </c>
      <c r="F4" s="19" t="s">
        <v>98</v>
      </c>
      <c r="G4" s="13">
        <v>1</v>
      </c>
      <c r="H4" s="15">
        <v>58</v>
      </c>
    </row>
    <row r="5" spans="1:8" s="18" customFormat="1" x14ac:dyDescent="0.4">
      <c r="A5" s="16">
        <v>3</v>
      </c>
      <c r="B5" s="16" t="s">
        <v>76</v>
      </c>
      <c r="C5" s="16" t="s">
        <v>208</v>
      </c>
      <c r="D5" s="16"/>
      <c r="E5" s="17" t="s">
        <v>622</v>
      </c>
      <c r="F5" s="46" t="s">
        <v>98</v>
      </c>
      <c r="G5" s="16">
        <v>1</v>
      </c>
      <c r="H5" s="18">
        <v>58</v>
      </c>
    </row>
    <row r="6" spans="1:8" x14ac:dyDescent="0.4">
      <c r="A6" s="13">
        <v>4</v>
      </c>
      <c r="B6" s="13" t="s">
        <v>76</v>
      </c>
      <c r="C6" s="13" t="s">
        <v>208</v>
      </c>
      <c r="E6" s="14" t="s">
        <v>623</v>
      </c>
      <c r="F6" s="19" t="s">
        <v>98</v>
      </c>
      <c r="G6" s="13">
        <v>1</v>
      </c>
      <c r="H6" s="15">
        <v>58</v>
      </c>
    </row>
    <row r="7" spans="1:8" s="18" customFormat="1" x14ac:dyDescent="0.4">
      <c r="A7" s="16">
        <v>5</v>
      </c>
      <c r="B7" s="16" t="s">
        <v>76</v>
      </c>
      <c r="C7" s="16" t="s">
        <v>208</v>
      </c>
      <c r="D7" s="16"/>
      <c r="E7" s="17" t="s">
        <v>624</v>
      </c>
      <c r="F7" s="46" t="s">
        <v>98</v>
      </c>
      <c r="G7" s="16">
        <v>1</v>
      </c>
      <c r="H7" s="18">
        <v>58</v>
      </c>
    </row>
    <row r="8" spans="1:8" x14ac:dyDescent="0.4">
      <c r="A8" s="13">
        <v>6</v>
      </c>
      <c r="B8" s="13" t="s">
        <v>76</v>
      </c>
      <c r="C8" s="13" t="s">
        <v>208</v>
      </c>
      <c r="E8" s="14" t="s">
        <v>625</v>
      </c>
      <c r="F8" s="19" t="s">
        <v>98</v>
      </c>
      <c r="G8" s="13">
        <v>1</v>
      </c>
      <c r="H8" s="15">
        <v>58</v>
      </c>
    </row>
    <row r="9" spans="1:8" s="18" customFormat="1" x14ac:dyDescent="0.4">
      <c r="A9" s="16">
        <v>7</v>
      </c>
      <c r="B9" s="16" t="s">
        <v>76</v>
      </c>
      <c r="C9" s="16" t="s">
        <v>208</v>
      </c>
      <c r="D9" s="16"/>
      <c r="E9" s="17" t="s">
        <v>626</v>
      </c>
      <c r="F9" s="46" t="s">
        <v>98</v>
      </c>
      <c r="G9" s="16">
        <v>1</v>
      </c>
      <c r="H9" s="18">
        <v>58</v>
      </c>
    </row>
    <row r="10" spans="1:8" x14ac:dyDescent="0.4">
      <c r="A10" s="13">
        <v>8</v>
      </c>
      <c r="B10" s="13" t="s">
        <v>76</v>
      </c>
      <c r="C10" s="13" t="s">
        <v>208</v>
      </c>
      <c r="E10" s="14" t="s">
        <v>627</v>
      </c>
      <c r="F10" s="19" t="s">
        <v>98</v>
      </c>
      <c r="G10" s="13">
        <v>1</v>
      </c>
      <c r="H10" s="15">
        <v>58</v>
      </c>
    </row>
    <row r="11" spans="1:8" s="18" customFormat="1" x14ac:dyDescent="0.4">
      <c r="A11" s="16">
        <v>9</v>
      </c>
      <c r="B11" s="16" t="s">
        <v>76</v>
      </c>
      <c r="C11" s="16" t="s">
        <v>208</v>
      </c>
      <c r="D11" s="16"/>
      <c r="E11" s="17" t="s">
        <v>628</v>
      </c>
      <c r="F11" s="46" t="s">
        <v>98</v>
      </c>
      <c r="G11" s="16">
        <v>1</v>
      </c>
      <c r="H11" s="18">
        <v>58</v>
      </c>
    </row>
    <row r="12" spans="1:8" x14ac:dyDescent="0.4">
      <c r="A12" s="13">
        <v>10</v>
      </c>
      <c r="B12" s="13" t="s">
        <v>76</v>
      </c>
      <c r="C12" s="13" t="s">
        <v>208</v>
      </c>
      <c r="E12" s="14" t="s">
        <v>629</v>
      </c>
      <c r="F12" s="19" t="s">
        <v>98</v>
      </c>
      <c r="G12" s="13">
        <v>1</v>
      </c>
      <c r="H12" s="15">
        <v>58</v>
      </c>
    </row>
    <row r="13" spans="1:8" s="18" customFormat="1" x14ac:dyDescent="0.4">
      <c r="A13" s="16">
        <v>11</v>
      </c>
      <c r="B13" s="16" t="s">
        <v>76</v>
      </c>
      <c r="C13" s="16" t="s">
        <v>208</v>
      </c>
      <c r="D13" s="16"/>
      <c r="E13" s="17" t="s">
        <v>630</v>
      </c>
      <c r="F13" s="46" t="s">
        <v>98</v>
      </c>
      <c r="G13" s="16">
        <v>1</v>
      </c>
      <c r="H13" s="18">
        <v>58</v>
      </c>
    </row>
    <row r="14" spans="1:8" x14ac:dyDescent="0.4">
      <c r="A14" s="13">
        <v>12</v>
      </c>
      <c r="B14" s="13" t="s">
        <v>76</v>
      </c>
      <c r="C14" s="13" t="s">
        <v>208</v>
      </c>
      <c r="E14" s="14" t="s">
        <v>631</v>
      </c>
      <c r="F14" s="19" t="s">
        <v>98</v>
      </c>
      <c r="G14" s="13">
        <v>1</v>
      </c>
      <c r="H14" s="15">
        <v>58</v>
      </c>
    </row>
    <row r="15" spans="1:8" s="18" customFormat="1" x14ac:dyDescent="0.4">
      <c r="A15" s="18">
        <v>13</v>
      </c>
      <c r="B15" s="18" t="s">
        <v>632</v>
      </c>
      <c r="E15" s="36" t="s">
        <v>633</v>
      </c>
      <c r="F15" s="46" t="s">
        <v>98</v>
      </c>
      <c r="G15" s="18">
        <v>1</v>
      </c>
      <c r="H15" s="18">
        <v>58</v>
      </c>
    </row>
    <row r="16" spans="1:8" s="18" customFormat="1" x14ac:dyDescent="0.4">
      <c r="B16" s="18" t="s">
        <v>634</v>
      </c>
      <c r="E16" s="25">
        <f>DATE(1965,12,1)</f>
        <v>24077</v>
      </c>
      <c r="F16" s="46" t="s">
        <v>98</v>
      </c>
      <c r="G16" s="18">
        <v>2</v>
      </c>
      <c r="H16" s="18">
        <v>58</v>
      </c>
    </row>
    <row r="17" spans="5:8" s="18" customFormat="1" x14ac:dyDescent="0.4">
      <c r="E17" s="25">
        <f>DATE(1965,12,2)</f>
        <v>24078</v>
      </c>
      <c r="F17" s="46" t="s">
        <v>98</v>
      </c>
      <c r="G17" s="18">
        <v>2</v>
      </c>
      <c r="H17" s="18">
        <v>58</v>
      </c>
    </row>
    <row r="18" spans="5:8" s="18" customFormat="1" x14ac:dyDescent="0.4">
      <c r="E18" s="25">
        <f>DATE(1965,12,3)</f>
        <v>24079</v>
      </c>
      <c r="F18" s="46" t="s">
        <v>98</v>
      </c>
      <c r="G18" s="18">
        <v>2</v>
      </c>
      <c r="H18" s="18">
        <v>58</v>
      </c>
    </row>
    <row r="19" spans="5:8" s="18" customFormat="1" x14ac:dyDescent="0.4">
      <c r="E19" s="25">
        <f>DATE(1965,12,4)</f>
        <v>24080</v>
      </c>
      <c r="F19" s="46" t="s">
        <v>98</v>
      </c>
      <c r="G19" s="18">
        <v>2</v>
      </c>
      <c r="H19" s="18">
        <v>58</v>
      </c>
    </row>
    <row r="20" spans="5:8" s="18" customFormat="1" x14ac:dyDescent="0.4">
      <c r="E20" s="25">
        <f>DATE(1965,12,5)</f>
        <v>24081</v>
      </c>
      <c r="F20" s="46" t="s">
        <v>98</v>
      </c>
      <c r="G20" s="18">
        <v>2</v>
      </c>
      <c r="H20" s="18">
        <v>58</v>
      </c>
    </row>
    <row r="21" spans="5:8" s="18" customFormat="1" x14ac:dyDescent="0.4">
      <c r="E21" s="25">
        <f>DATE(1965,12,6)</f>
        <v>24082</v>
      </c>
      <c r="F21" s="46" t="s">
        <v>98</v>
      </c>
      <c r="G21" s="18">
        <v>2</v>
      </c>
      <c r="H21" s="18">
        <v>58</v>
      </c>
    </row>
    <row r="22" spans="5:8" s="18" customFormat="1" x14ac:dyDescent="0.4">
      <c r="E22" s="25">
        <f>DATE(1965,12,7)</f>
        <v>24083</v>
      </c>
      <c r="F22" s="46" t="s">
        <v>98</v>
      </c>
      <c r="G22" s="18">
        <v>2</v>
      </c>
      <c r="H22" s="18">
        <v>58</v>
      </c>
    </row>
    <row r="23" spans="5:8" s="18" customFormat="1" x14ac:dyDescent="0.4">
      <c r="E23" s="25">
        <f>DATE(1965,12,8)</f>
        <v>24084</v>
      </c>
      <c r="F23" s="46" t="s">
        <v>98</v>
      </c>
      <c r="G23" s="18">
        <v>2</v>
      </c>
      <c r="H23" s="18">
        <v>58</v>
      </c>
    </row>
    <row r="24" spans="5:8" s="18" customFormat="1" x14ac:dyDescent="0.4">
      <c r="E24" s="25">
        <f>DATE(1965,12,9)</f>
        <v>24085</v>
      </c>
      <c r="F24" s="46" t="s">
        <v>98</v>
      </c>
      <c r="G24" s="18">
        <v>2</v>
      </c>
      <c r="H24" s="18">
        <v>58</v>
      </c>
    </row>
    <row r="25" spans="5:8" s="18" customFormat="1" x14ac:dyDescent="0.4">
      <c r="E25" s="25">
        <f>DATE(1965,12,10)</f>
        <v>24086</v>
      </c>
      <c r="F25" s="46" t="s">
        <v>98</v>
      </c>
      <c r="G25" s="18">
        <v>2</v>
      </c>
      <c r="H25" s="18">
        <v>58</v>
      </c>
    </row>
    <row r="26" spans="5:8" s="18" customFormat="1" x14ac:dyDescent="0.4">
      <c r="E26" s="25">
        <f>DATE(1965,12,11)</f>
        <v>24087</v>
      </c>
      <c r="F26" s="46" t="s">
        <v>98</v>
      </c>
      <c r="G26" s="18">
        <v>1</v>
      </c>
      <c r="H26" s="18">
        <v>58</v>
      </c>
    </row>
    <row r="27" spans="5:8" s="18" customFormat="1" x14ac:dyDescent="0.4">
      <c r="E27" s="25">
        <f>DATE(1965,12,12)</f>
        <v>24088</v>
      </c>
      <c r="F27" s="46" t="s">
        <v>98</v>
      </c>
      <c r="G27" s="18">
        <v>1</v>
      </c>
      <c r="H27" s="18">
        <v>58</v>
      </c>
    </row>
    <row r="28" spans="5:8" s="18" customFormat="1" x14ac:dyDescent="0.4">
      <c r="E28" s="25">
        <f>DATE(1965,12,13)</f>
        <v>24089</v>
      </c>
      <c r="F28" s="46" t="s">
        <v>98</v>
      </c>
      <c r="G28" s="18">
        <v>2</v>
      </c>
      <c r="H28" s="18">
        <v>58</v>
      </c>
    </row>
    <row r="29" spans="5:8" s="18" customFormat="1" x14ac:dyDescent="0.4">
      <c r="E29" s="25">
        <f>DATE(1965,12,14)</f>
        <v>24090</v>
      </c>
      <c r="F29" s="46" t="s">
        <v>98</v>
      </c>
      <c r="G29" s="18">
        <v>2</v>
      </c>
      <c r="H29" s="18">
        <v>58</v>
      </c>
    </row>
    <row r="30" spans="5:8" s="18" customFormat="1" x14ac:dyDescent="0.4">
      <c r="E30" s="25">
        <f>DATE(1965,12,15)</f>
        <v>24091</v>
      </c>
      <c r="F30" s="46" t="s">
        <v>98</v>
      </c>
      <c r="G30" s="18">
        <v>2</v>
      </c>
      <c r="H30" s="18">
        <v>58</v>
      </c>
    </row>
    <row r="31" spans="5:8" s="18" customFormat="1" x14ac:dyDescent="0.4">
      <c r="E31" s="25">
        <f>DATE(1965,12,16)</f>
        <v>24092</v>
      </c>
      <c r="F31" s="46" t="s">
        <v>98</v>
      </c>
      <c r="G31" s="18">
        <v>2</v>
      </c>
      <c r="H31" s="18">
        <v>58</v>
      </c>
    </row>
    <row r="32" spans="5:8" s="18" customFormat="1" x14ac:dyDescent="0.4">
      <c r="E32" s="25">
        <f>DATE(1965,12,17)</f>
        <v>24093</v>
      </c>
      <c r="F32" s="46" t="s">
        <v>98</v>
      </c>
      <c r="G32" s="18">
        <v>2</v>
      </c>
      <c r="H32" s="18">
        <v>58</v>
      </c>
    </row>
    <row r="33" spans="1:8" s="18" customFormat="1" x14ac:dyDescent="0.4">
      <c r="E33" s="25">
        <f>DATE(1965,12,18)</f>
        <v>24094</v>
      </c>
      <c r="F33" s="46" t="s">
        <v>98</v>
      </c>
      <c r="G33" s="18">
        <v>2</v>
      </c>
      <c r="H33" s="18">
        <v>58</v>
      </c>
    </row>
    <row r="34" spans="1:8" s="18" customFormat="1" x14ac:dyDescent="0.4">
      <c r="E34" s="25">
        <f>DATE(1965,12,19)</f>
        <v>24095</v>
      </c>
      <c r="F34" s="46" t="s">
        <v>98</v>
      </c>
      <c r="G34" s="18">
        <v>2</v>
      </c>
      <c r="H34" s="18">
        <v>58</v>
      </c>
    </row>
    <row r="35" spans="1:8" s="18" customFormat="1" x14ac:dyDescent="0.4">
      <c r="E35" s="25">
        <f>DATE(1965,12,20)</f>
        <v>24096</v>
      </c>
      <c r="F35" s="46" t="s">
        <v>98</v>
      </c>
      <c r="G35" s="18">
        <v>2</v>
      </c>
      <c r="H35" s="18">
        <v>58</v>
      </c>
    </row>
    <row r="36" spans="1:8" s="18" customFormat="1" x14ac:dyDescent="0.4">
      <c r="E36" s="25">
        <f>DATE(1965,12,21)</f>
        <v>24097</v>
      </c>
      <c r="F36" s="46" t="s">
        <v>98</v>
      </c>
      <c r="G36" s="18">
        <v>2</v>
      </c>
      <c r="H36" s="18">
        <v>58</v>
      </c>
    </row>
    <row r="37" spans="1:8" s="18" customFormat="1" x14ac:dyDescent="0.4">
      <c r="E37" s="25">
        <f>DATE(1965,12,22)</f>
        <v>24098</v>
      </c>
      <c r="F37" s="46" t="s">
        <v>98</v>
      </c>
      <c r="G37" s="18">
        <v>3</v>
      </c>
      <c r="H37" s="18">
        <v>58</v>
      </c>
    </row>
    <row r="38" spans="1:8" s="18" customFormat="1" x14ac:dyDescent="0.4">
      <c r="E38" s="25">
        <f>DATE(1965,12,23)</f>
        <v>24099</v>
      </c>
      <c r="F38" s="46" t="s">
        <v>98</v>
      </c>
      <c r="G38" s="18">
        <v>3</v>
      </c>
      <c r="H38" s="18">
        <v>58</v>
      </c>
    </row>
    <row r="39" spans="1:8" s="18" customFormat="1" x14ac:dyDescent="0.4">
      <c r="E39" s="25">
        <f>DATE(1965,12,24)</f>
        <v>24100</v>
      </c>
      <c r="F39" s="46" t="s">
        <v>98</v>
      </c>
      <c r="G39" s="18">
        <v>3</v>
      </c>
      <c r="H39" s="18">
        <v>58</v>
      </c>
    </row>
    <row r="40" spans="1:8" s="18" customFormat="1" x14ac:dyDescent="0.4">
      <c r="E40" s="25">
        <f>DATE(1965,12,25)</f>
        <v>24101</v>
      </c>
      <c r="F40" s="46" t="s">
        <v>98</v>
      </c>
      <c r="G40" s="18">
        <v>3</v>
      </c>
      <c r="H40" s="18">
        <v>58</v>
      </c>
    </row>
    <row r="41" spans="1:8" s="18" customFormat="1" x14ac:dyDescent="0.4">
      <c r="E41" s="25">
        <f>DATE(1965,12,26)</f>
        <v>24102</v>
      </c>
      <c r="F41" s="46" t="s">
        <v>98</v>
      </c>
      <c r="G41" s="18">
        <v>3</v>
      </c>
      <c r="H41" s="18">
        <v>58</v>
      </c>
    </row>
    <row r="42" spans="1:8" s="18" customFormat="1" x14ac:dyDescent="0.4">
      <c r="E42" s="25">
        <f>DATE(1965,12,27)</f>
        <v>24103</v>
      </c>
      <c r="F42" s="46" t="s">
        <v>98</v>
      </c>
      <c r="G42" s="18">
        <v>3</v>
      </c>
      <c r="H42" s="18">
        <v>58</v>
      </c>
    </row>
    <row r="43" spans="1:8" s="18" customFormat="1" x14ac:dyDescent="0.4">
      <c r="E43" s="25">
        <f>DATE(1965,12,28)</f>
        <v>24104</v>
      </c>
      <c r="F43" s="46" t="s">
        <v>98</v>
      </c>
      <c r="G43" s="18">
        <v>2</v>
      </c>
      <c r="H43" s="18">
        <v>58</v>
      </c>
    </row>
    <row r="44" spans="1:8" s="18" customFormat="1" x14ac:dyDescent="0.4">
      <c r="E44" s="25">
        <f>DATE(1965,12,29)</f>
        <v>24105</v>
      </c>
      <c r="F44" s="46" t="s">
        <v>98</v>
      </c>
      <c r="G44" s="18">
        <v>2</v>
      </c>
      <c r="H44" s="18">
        <v>58</v>
      </c>
    </row>
    <row r="45" spans="1:8" s="18" customFormat="1" x14ac:dyDescent="0.4">
      <c r="E45" s="25">
        <f>DATE(1965,12,30)</f>
        <v>24106</v>
      </c>
      <c r="F45" s="46" t="s">
        <v>98</v>
      </c>
      <c r="G45" s="18">
        <v>2</v>
      </c>
      <c r="H45" s="18">
        <v>58</v>
      </c>
    </row>
    <row r="46" spans="1:8" s="18" customFormat="1" x14ac:dyDescent="0.4">
      <c r="E46" s="25">
        <f>DATE(1965,12,31)</f>
        <v>24107</v>
      </c>
      <c r="F46" s="46" t="s">
        <v>98</v>
      </c>
      <c r="G46" s="18">
        <v>2</v>
      </c>
      <c r="H46" s="18">
        <v>58</v>
      </c>
    </row>
    <row r="47" spans="1:8" ht="24" x14ac:dyDescent="0.4">
      <c r="A47" s="13">
        <v>14</v>
      </c>
      <c r="B47" s="94" t="s">
        <v>635</v>
      </c>
      <c r="D47" s="13" t="s">
        <v>636</v>
      </c>
      <c r="E47" s="14">
        <f>DATE(1989,10,24)</f>
        <v>32805</v>
      </c>
      <c r="F47" s="19" t="s">
        <v>51</v>
      </c>
      <c r="G47" s="13">
        <v>10</v>
      </c>
      <c r="H47" s="15">
        <v>58</v>
      </c>
    </row>
    <row r="48" spans="1:8" ht="24" x14ac:dyDescent="0.4">
      <c r="A48" s="13">
        <v>15</v>
      </c>
      <c r="B48" s="13" t="s">
        <v>637</v>
      </c>
      <c r="D48" s="13" t="s">
        <v>638</v>
      </c>
      <c r="E48" s="14">
        <f>DATE(1989,6,14)</f>
        <v>32673</v>
      </c>
      <c r="F48" s="19" t="s">
        <v>51</v>
      </c>
      <c r="G48" s="13">
        <v>1</v>
      </c>
      <c r="H48" s="15">
        <v>58</v>
      </c>
    </row>
    <row r="49" spans="1:8" x14ac:dyDescent="0.4">
      <c r="A49" s="13">
        <v>16</v>
      </c>
      <c r="B49" s="13" t="s">
        <v>639</v>
      </c>
      <c r="D49" s="13" t="s">
        <v>638</v>
      </c>
      <c r="E49" s="14">
        <f>DATE(1989,5,15)</f>
        <v>32643</v>
      </c>
      <c r="F49" s="19" t="s">
        <v>51</v>
      </c>
      <c r="G49" s="13">
        <v>1</v>
      </c>
      <c r="H49" s="15">
        <v>58</v>
      </c>
    </row>
    <row r="50" spans="1:8" x14ac:dyDescent="0.4">
      <c r="A50" s="13">
        <v>17</v>
      </c>
      <c r="B50" s="13" t="s">
        <v>640</v>
      </c>
      <c r="D50" s="13" t="s">
        <v>638</v>
      </c>
      <c r="E50" s="14">
        <f>DATE(1989,5,11)</f>
        <v>32639</v>
      </c>
      <c r="F50" s="19" t="s">
        <v>51</v>
      </c>
      <c r="G50" s="13">
        <v>5</v>
      </c>
      <c r="H50" s="15">
        <v>58</v>
      </c>
    </row>
    <row r="51" spans="1:8" x14ac:dyDescent="0.4">
      <c r="A51" s="13">
        <v>18</v>
      </c>
      <c r="B51" s="13" t="s">
        <v>641</v>
      </c>
      <c r="D51" s="13" t="s">
        <v>638</v>
      </c>
      <c r="E51" s="14">
        <f>DATE(1990,6,12)</f>
        <v>33036</v>
      </c>
      <c r="F51" s="19" t="s">
        <v>51</v>
      </c>
      <c r="G51" s="13">
        <v>3</v>
      </c>
      <c r="H51" s="15">
        <v>58</v>
      </c>
    </row>
    <row r="52" spans="1:8" x14ac:dyDescent="0.4">
      <c r="A52" s="13">
        <v>19</v>
      </c>
      <c r="B52" s="13" t="s">
        <v>642</v>
      </c>
      <c r="D52" s="13" t="s">
        <v>638</v>
      </c>
      <c r="E52" s="14">
        <f>DATE(1989,5,13)</f>
        <v>32641</v>
      </c>
      <c r="F52" s="19" t="s">
        <v>51</v>
      </c>
      <c r="G52" s="13">
        <v>3</v>
      </c>
      <c r="H52" s="15">
        <v>58</v>
      </c>
    </row>
    <row r="53" spans="1:8" x14ac:dyDescent="0.4">
      <c r="A53" s="13">
        <v>20</v>
      </c>
      <c r="B53" s="13" t="s">
        <v>643</v>
      </c>
      <c r="D53" s="13" t="s">
        <v>638</v>
      </c>
      <c r="E53" s="14">
        <f>DATE(1989,5,12)</f>
        <v>32640</v>
      </c>
      <c r="F53" s="19" t="s">
        <v>51</v>
      </c>
      <c r="G53" s="13">
        <v>5</v>
      </c>
      <c r="H53" s="15">
        <v>58</v>
      </c>
    </row>
    <row r="54" spans="1:8" ht="24" x14ac:dyDescent="0.4">
      <c r="A54" s="13">
        <v>21</v>
      </c>
      <c r="B54" s="13" t="s">
        <v>644</v>
      </c>
      <c r="D54" s="13" t="s">
        <v>638</v>
      </c>
      <c r="E54" s="14">
        <f>DATE(1990,11,12)</f>
        <v>33189</v>
      </c>
      <c r="F54" s="19" t="s">
        <v>51</v>
      </c>
      <c r="G54" s="13">
        <v>1</v>
      </c>
      <c r="H54" s="15">
        <v>58</v>
      </c>
    </row>
    <row r="55" spans="1:8" x14ac:dyDescent="0.4">
      <c r="G55" s="13">
        <f>SUM(G3:G54)</f>
        <v>134</v>
      </c>
    </row>
  </sheetData>
  <sheetProtection insertHyperlinks="0" selectLockedCells="1" selectUnlockedCells="1"/>
  <mergeCells count="1">
    <mergeCell ref="A1:C1"/>
  </mergeCells>
  <phoneticPr fontId="1"/>
  <hyperlinks>
    <hyperlink ref="B47" r:id="rId1" xr:uid="{C08BCFCB-3BAC-4936-B24F-B771AEA2D700}"/>
  </hyperlinks>
  <pageMargins left="0.7" right="0.7" top="0.75" bottom="0.75" header="0.3" footer="0.3"/>
  <pageSetup paperSize="9" orientation="landscape"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EE6A-9F4F-419F-B528-62EE09112A81}">
  <dimension ref="A1:H5"/>
  <sheetViews>
    <sheetView workbookViewId="0">
      <selection activeCell="C11" sqref="C11"/>
    </sheetView>
  </sheetViews>
  <sheetFormatPr defaultColWidth="11.5546875" defaultRowHeight="12" x14ac:dyDescent="0.4"/>
  <cols>
    <col min="1" max="1" width="4.5546875" style="13" customWidth="1"/>
    <col min="2" max="2" width="24.109375" style="13" customWidth="1"/>
    <col min="3" max="3" width="14" style="13" customWidth="1"/>
    <col min="4" max="4" width="20" style="13" customWidth="1"/>
    <col min="5" max="5" width="15.88671875" style="19" customWidth="1"/>
    <col min="6" max="6" width="8" style="19" customWidth="1"/>
    <col min="7" max="7" width="6.109375" style="13" customWidth="1"/>
    <col min="8" max="8" width="4" style="15" customWidth="1"/>
    <col min="9" max="16384" width="11.5546875" style="15"/>
  </cols>
  <sheetData>
    <row r="1" spans="1:8" s="21" customFormat="1" x14ac:dyDescent="0.4">
      <c r="A1" s="95" t="s">
        <v>645</v>
      </c>
      <c r="B1" s="95"/>
      <c r="C1" s="95"/>
      <c r="E1" s="22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7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5">
        <v>1</v>
      </c>
      <c r="B3" s="15" t="s">
        <v>262</v>
      </c>
      <c r="C3" s="15" t="s">
        <v>208</v>
      </c>
      <c r="D3" s="15"/>
      <c r="E3" s="29" t="s">
        <v>176</v>
      </c>
      <c r="F3" s="29" t="s">
        <v>51</v>
      </c>
      <c r="G3" s="15">
        <v>1</v>
      </c>
      <c r="H3" s="15">
        <v>58</v>
      </c>
    </row>
    <row r="4" spans="1:8" x14ac:dyDescent="0.4">
      <c r="A4" s="15"/>
      <c r="B4" s="15" t="s">
        <v>112</v>
      </c>
      <c r="C4" s="15" t="s">
        <v>113</v>
      </c>
      <c r="D4" s="15" t="s">
        <v>646</v>
      </c>
      <c r="E4" s="24">
        <f>DATE(2004,10,26)</f>
        <v>38286</v>
      </c>
      <c r="F4" s="29" t="s">
        <v>51</v>
      </c>
      <c r="G4" s="15">
        <v>5</v>
      </c>
      <c r="H4" s="15">
        <v>58</v>
      </c>
    </row>
    <row r="5" spans="1:8" x14ac:dyDescent="0.4">
      <c r="G5" s="13">
        <f>SUM(G3:G4)</f>
        <v>6</v>
      </c>
    </row>
  </sheetData>
  <sheetProtection insertHyperlinks="0" selectLockedCells="1" selectUnlockedCells="1"/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DC5A-B8D5-4F99-B78F-D63021DD99BF}">
  <dimension ref="A1:H104"/>
  <sheetViews>
    <sheetView topLeftCell="D83" workbookViewId="0">
      <selection activeCell="I116" sqref="I116"/>
    </sheetView>
  </sheetViews>
  <sheetFormatPr defaultColWidth="11.5546875" defaultRowHeight="12" x14ac:dyDescent="0.4"/>
  <cols>
    <col min="1" max="1" width="3.6640625" style="13" customWidth="1"/>
    <col min="2" max="2" width="40.77734375" style="13" customWidth="1"/>
    <col min="3" max="3" width="16.5546875" style="13" customWidth="1"/>
    <col min="4" max="4" width="24.6640625" style="13" customWidth="1"/>
    <col min="5" max="5" width="13.77734375" style="14" customWidth="1"/>
    <col min="6" max="6" width="7.77734375" style="19" customWidth="1"/>
    <col min="7" max="7" width="14.88671875" style="13" customWidth="1"/>
    <col min="8" max="8" width="3.6640625" style="15" customWidth="1"/>
    <col min="9" max="16384" width="11.5546875" style="15"/>
  </cols>
  <sheetData>
    <row r="1" spans="1:8" s="21" customFormat="1" x14ac:dyDescent="0.4">
      <c r="A1" s="95" t="s">
        <v>101</v>
      </c>
      <c r="B1" s="95"/>
      <c r="C1" s="95"/>
      <c r="D1" s="20"/>
      <c r="E1" s="28"/>
      <c r="F1" s="22"/>
    </row>
    <row r="2" spans="1:8" s="78" customFormat="1" x14ac:dyDescent="0.4">
      <c r="A2" s="78" t="s">
        <v>0</v>
      </c>
      <c r="B2" s="78" t="s">
        <v>41</v>
      </c>
      <c r="C2" s="78" t="s">
        <v>42</v>
      </c>
      <c r="D2" s="78" t="s">
        <v>43</v>
      </c>
      <c r="E2" s="80" t="s">
        <v>44</v>
      </c>
      <c r="F2" s="78" t="s">
        <v>45</v>
      </c>
      <c r="G2" s="78" t="s">
        <v>46</v>
      </c>
      <c r="H2" s="78" t="s">
        <v>47</v>
      </c>
    </row>
    <row r="3" spans="1:8" x14ac:dyDescent="0.4">
      <c r="A3" s="13">
        <v>1</v>
      </c>
      <c r="B3" s="13" t="s">
        <v>60</v>
      </c>
      <c r="C3" s="13" t="s">
        <v>61</v>
      </c>
      <c r="D3" s="13" t="s">
        <v>102</v>
      </c>
      <c r="E3" s="14">
        <f>DATE(1990,5,4)</f>
        <v>32997</v>
      </c>
      <c r="F3" s="19" t="s">
        <v>51</v>
      </c>
      <c r="G3" s="13">
        <v>10</v>
      </c>
      <c r="H3" s="15">
        <v>47</v>
      </c>
    </row>
    <row r="4" spans="1:8" s="18" customFormat="1" x14ac:dyDescent="0.4">
      <c r="A4" s="16">
        <v>2</v>
      </c>
      <c r="B4" s="16" t="s">
        <v>63</v>
      </c>
      <c r="C4" s="16" t="s">
        <v>61</v>
      </c>
      <c r="D4" s="16" t="s">
        <v>102</v>
      </c>
      <c r="E4" s="17">
        <f>DATE(1991,2,28)</f>
        <v>33297</v>
      </c>
      <c r="F4" s="46" t="s">
        <v>51</v>
      </c>
      <c r="G4" s="16">
        <v>37</v>
      </c>
      <c r="H4" s="18">
        <v>47</v>
      </c>
    </row>
    <row r="5" spans="1:8" x14ac:dyDescent="0.4">
      <c r="A5" s="13">
        <v>3</v>
      </c>
      <c r="B5" s="13" t="s">
        <v>65</v>
      </c>
      <c r="C5" s="13" t="s">
        <v>64</v>
      </c>
      <c r="D5" s="13" t="s">
        <v>102</v>
      </c>
      <c r="E5" s="14">
        <f>DATE(1992,2,20)</f>
        <v>33654</v>
      </c>
      <c r="F5" s="19" t="s">
        <v>51</v>
      </c>
      <c r="G5" s="13">
        <v>16</v>
      </c>
      <c r="H5" s="15">
        <v>47</v>
      </c>
    </row>
    <row r="6" spans="1:8" s="18" customFormat="1" x14ac:dyDescent="0.4">
      <c r="A6" s="16">
        <v>4</v>
      </c>
      <c r="B6" s="16" t="s">
        <v>53</v>
      </c>
      <c r="C6" s="16"/>
      <c r="D6" s="16" t="s">
        <v>102</v>
      </c>
      <c r="E6" s="17">
        <f>DATE(1993,10,18)</f>
        <v>34260</v>
      </c>
      <c r="F6" s="46" t="s">
        <v>51</v>
      </c>
      <c r="G6" s="16">
        <v>16</v>
      </c>
      <c r="H6" s="18">
        <v>47</v>
      </c>
    </row>
    <row r="7" spans="1:8" x14ac:dyDescent="0.4">
      <c r="A7" s="13">
        <v>5</v>
      </c>
      <c r="B7" s="13" t="s">
        <v>56</v>
      </c>
      <c r="C7" s="13" t="s">
        <v>64</v>
      </c>
      <c r="D7" s="13" t="s">
        <v>102</v>
      </c>
      <c r="E7" s="14">
        <f>DATE(1995,10,9)</f>
        <v>34981</v>
      </c>
      <c r="F7" s="19" t="s">
        <v>51</v>
      </c>
      <c r="G7" s="13">
        <v>31</v>
      </c>
      <c r="H7" s="15">
        <v>47</v>
      </c>
    </row>
    <row r="8" spans="1:8" s="18" customFormat="1" x14ac:dyDescent="0.4">
      <c r="A8" s="16">
        <v>6</v>
      </c>
      <c r="B8" s="16" t="s">
        <v>67</v>
      </c>
      <c r="C8" s="16" t="s">
        <v>64</v>
      </c>
      <c r="D8" s="16" t="s">
        <v>102</v>
      </c>
      <c r="E8" s="17">
        <f>DATE(1996,4,16)</f>
        <v>35171</v>
      </c>
      <c r="F8" s="46" t="s">
        <v>51</v>
      </c>
      <c r="G8" s="16">
        <v>22</v>
      </c>
      <c r="H8" s="18">
        <v>47</v>
      </c>
    </row>
    <row r="9" spans="1:8" x14ac:dyDescent="0.4">
      <c r="A9" s="13">
        <v>7</v>
      </c>
      <c r="B9" s="13" t="s">
        <v>68</v>
      </c>
      <c r="C9" s="13" t="s">
        <v>64</v>
      </c>
      <c r="D9" s="13" t="s">
        <v>102</v>
      </c>
      <c r="E9" s="14">
        <f>DATE(1997,4,7)</f>
        <v>35527</v>
      </c>
      <c r="F9" s="19" t="s">
        <v>51</v>
      </c>
      <c r="G9" s="13">
        <v>23</v>
      </c>
      <c r="H9" s="15">
        <v>47</v>
      </c>
    </row>
    <row r="10" spans="1:8" s="18" customFormat="1" ht="24" x14ac:dyDescent="0.4">
      <c r="A10" s="16">
        <v>8</v>
      </c>
      <c r="B10" s="16" t="s">
        <v>103</v>
      </c>
      <c r="C10" s="16" t="s">
        <v>104</v>
      </c>
      <c r="D10" s="16" t="s">
        <v>105</v>
      </c>
      <c r="E10" s="17">
        <f>DATE(1990,2,21)</f>
        <v>32925</v>
      </c>
      <c r="F10" s="46" t="s">
        <v>51</v>
      </c>
      <c r="G10" s="16">
        <v>6</v>
      </c>
      <c r="H10" s="18">
        <v>47</v>
      </c>
    </row>
    <row r="11" spans="1:8" ht="24" x14ac:dyDescent="0.4">
      <c r="A11" s="15">
        <v>9</v>
      </c>
      <c r="B11" s="13" t="s">
        <v>106</v>
      </c>
      <c r="C11" s="15"/>
      <c r="D11" s="13" t="s">
        <v>107</v>
      </c>
      <c r="E11" s="24">
        <f>DATE(1990,5,31)</f>
        <v>33024</v>
      </c>
      <c r="F11" s="29" t="s">
        <v>51</v>
      </c>
      <c r="G11" s="15">
        <v>19</v>
      </c>
      <c r="H11" s="15">
        <v>47</v>
      </c>
    </row>
    <row r="12" spans="1:8" s="18" customFormat="1" ht="39" customHeight="1" x14ac:dyDescent="0.4">
      <c r="A12" s="16">
        <v>10</v>
      </c>
      <c r="B12" s="16" t="s">
        <v>108</v>
      </c>
      <c r="C12" s="16" t="s">
        <v>109</v>
      </c>
      <c r="D12" s="16" t="s">
        <v>102</v>
      </c>
      <c r="E12" s="17">
        <f>DATE(1994,11,28)</f>
        <v>34666</v>
      </c>
      <c r="F12" s="46" t="s">
        <v>51</v>
      </c>
      <c r="G12" s="16">
        <v>11</v>
      </c>
      <c r="H12" s="18">
        <v>47</v>
      </c>
    </row>
    <row r="13" spans="1:8" ht="30.75" customHeight="1" x14ac:dyDescent="0.4">
      <c r="A13" s="15">
        <v>11</v>
      </c>
      <c r="B13" s="13" t="s">
        <v>108</v>
      </c>
      <c r="C13" s="15" t="s">
        <v>109</v>
      </c>
      <c r="D13" s="13" t="s">
        <v>102</v>
      </c>
      <c r="E13" s="24">
        <f>DATE(1996,2,13)</f>
        <v>35108</v>
      </c>
      <c r="F13" s="29" t="s">
        <v>51</v>
      </c>
      <c r="G13" s="15">
        <v>11</v>
      </c>
      <c r="H13" s="15">
        <v>47</v>
      </c>
    </row>
    <row r="14" spans="1:8" s="18" customFormat="1" x14ac:dyDescent="0.4">
      <c r="A14" s="16">
        <v>12</v>
      </c>
      <c r="B14" s="16" t="s">
        <v>110</v>
      </c>
      <c r="C14" s="16"/>
      <c r="D14" s="16" t="s">
        <v>102</v>
      </c>
      <c r="E14" s="17">
        <f>DATE(1994,10,1)</f>
        <v>34608</v>
      </c>
      <c r="F14" s="46" t="s">
        <v>51</v>
      </c>
      <c r="G14" s="16">
        <v>2</v>
      </c>
      <c r="H14" s="18">
        <v>47</v>
      </c>
    </row>
    <row r="15" spans="1:8" x14ac:dyDescent="0.4">
      <c r="A15" s="15">
        <v>13</v>
      </c>
      <c r="B15" s="13" t="s">
        <v>83</v>
      </c>
      <c r="C15" s="15"/>
      <c r="D15" s="13" t="s">
        <v>102</v>
      </c>
      <c r="E15" s="26" t="s">
        <v>50</v>
      </c>
      <c r="F15" s="29" t="s">
        <v>51</v>
      </c>
      <c r="G15" s="15">
        <v>4</v>
      </c>
      <c r="H15" s="15">
        <v>47</v>
      </c>
    </row>
    <row r="16" spans="1:8" s="18" customFormat="1" x14ac:dyDescent="0.4">
      <c r="A16" s="16">
        <v>14</v>
      </c>
      <c r="B16" s="16" t="s">
        <v>111</v>
      </c>
      <c r="C16" s="16"/>
      <c r="D16" s="16" t="s">
        <v>102</v>
      </c>
      <c r="E16" s="17" t="s">
        <v>50</v>
      </c>
      <c r="F16" s="46" t="s">
        <v>51</v>
      </c>
      <c r="G16" s="16">
        <v>4</v>
      </c>
      <c r="H16" s="18">
        <v>47</v>
      </c>
    </row>
    <row r="17" spans="1:8" x14ac:dyDescent="0.4">
      <c r="A17" s="15">
        <v>15</v>
      </c>
      <c r="B17" s="13" t="s">
        <v>112</v>
      </c>
      <c r="C17" s="15" t="s">
        <v>113</v>
      </c>
      <c r="E17" s="24">
        <f>DATE(1994,4,4)</f>
        <v>34428</v>
      </c>
      <c r="F17" s="29" t="s">
        <v>51</v>
      </c>
      <c r="G17" s="15">
        <v>4</v>
      </c>
      <c r="H17" s="15">
        <v>47</v>
      </c>
    </row>
    <row r="18" spans="1:8" x14ac:dyDescent="0.4">
      <c r="A18" s="15"/>
      <c r="C18" s="15"/>
      <c r="E18" s="24">
        <f>DATE(1994,4,5)</f>
        <v>34429</v>
      </c>
      <c r="F18" s="29" t="s">
        <v>51</v>
      </c>
      <c r="G18" s="15">
        <v>4</v>
      </c>
      <c r="H18" s="15">
        <v>47</v>
      </c>
    </row>
    <row r="19" spans="1:8" x14ac:dyDescent="0.4">
      <c r="A19" s="15"/>
      <c r="C19" s="15"/>
      <c r="E19" s="24">
        <f>DATE(1994,4,6)</f>
        <v>34430</v>
      </c>
      <c r="F19" s="29" t="s">
        <v>51</v>
      </c>
      <c r="G19" s="15">
        <v>3</v>
      </c>
      <c r="H19" s="15">
        <v>47</v>
      </c>
    </row>
    <row r="20" spans="1:8" x14ac:dyDescent="0.4">
      <c r="A20" s="15"/>
      <c r="C20" s="15"/>
      <c r="E20" s="24">
        <f>DATE(1994,4,7)</f>
        <v>34431</v>
      </c>
      <c r="F20" s="29" t="s">
        <v>51</v>
      </c>
      <c r="G20" s="15">
        <v>4</v>
      </c>
      <c r="H20" s="15">
        <v>47</v>
      </c>
    </row>
    <row r="21" spans="1:8" x14ac:dyDescent="0.4">
      <c r="A21" s="15"/>
      <c r="C21" s="15"/>
      <c r="E21" s="24">
        <f>DATE(1994,4,8)</f>
        <v>34432</v>
      </c>
      <c r="F21" s="29" t="s">
        <v>51</v>
      </c>
      <c r="G21" s="15">
        <v>6</v>
      </c>
      <c r="H21" s="15">
        <v>47</v>
      </c>
    </row>
    <row r="22" spans="1:8" s="18" customFormat="1" x14ac:dyDescent="0.4">
      <c r="A22" s="16">
        <v>16</v>
      </c>
      <c r="B22" s="16" t="s">
        <v>112</v>
      </c>
      <c r="C22" s="16" t="s">
        <v>113</v>
      </c>
      <c r="D22" s="16"/>
      <c r="E22" s="17">
        <f>DATE(1994,7,28)</f>
        <v>34543</v>
      </c>
      <c r="F22" s="46" t="s">
        <v>51</v>
      </c>
      <c r="G22" s="16">
        <v>3</v>
      </c>
      <c r="H22" s="18">
        <v>47</v>
      </c>
    </row>
    <row r="23" spans="1:8" s="18" customFormat="1" x14ac:dyDescent="0.4">
      <c r="A23" s="16"/>
      <c r="B23" s="16"/>
      <c r="C23" s="16"/>
      <c r="D23" s="16"/>
      <c r="E23" s="17">
        <f>DATE(1994,7,29)</f>
        <v>34544</v>
      </c>
      <c r="F23" s="46" t="s">
        <v>51</v>
      </c>
      <c r="G23" s="16">
        <v>3</v>
      </c>
      <c r="H23" s="18">
        <v>47</v>
      </c>
    </row>
    <row r="24" spans="1:8" s="18" customFormat="1" x14ac:dyDescent="0.4">
      <c r="A24" s="16"/>
      <c r="B24" s="16"/>
      <c r="C24" s="16"/>
      <c r="D24" s="16"/>
      <c r="E24" s="17">
        <f>DATE(1994,7,30)</f>
        <v>34545</v>
      </c>
      <c r="F24" s="46" t="s">
        <v>51</v>
      </c>
      <c r="G24" s="16">
        <v>1</v>
      </c>
      <c r="H24" s="18">
        <v>47</v>
      </c>
    </row>
    <row r="25" spans="1:8" x14ac:dyDescent="0.4">
      <c r="A25" s="15">
        <v>17</v>
      </c>
      <c r="B25" s="13" t="s">
        <v>112</v>
      </c>
      <c r="C25" s="15" t="s">
        <v>113</v>
      </c>
      <c r="E25" s="24">
        <f>DATE(1994,8,1)</f>
        <v>34547</v>
      </c>
      <c r="F25" s="29" t="s">
        <v>51</v>
      </c>
      <c r="G25" s="15">
        <v>3</v>
      </c>
      <c r="H25" s="15">
        <v>47</v>
      </c>
    </row>
    <row r="26" spans="1:8" x14ac:dyDescent="0.4">
      <c r="A26" s="15"/>
      <c r="C26" s="15"/>
      <c r="E26" s="24">
        <f>DATE(1994,8,2)</f>
        <v>34548</v>
      </c>
      <c r="F26" s="29" t="s">
        <v>51</v>
      </c>
      <c r="G26" s="15">
        <v>8</v>
      </c>
      <c r="H26" s="15">
        <v>47</v>
      </c>
    </row>
    <row r="27" spans="1:8" x14ac:dyDescent="0.4">
      <c r="A27" s="15"/>
      <c r="C27" s="15"/>
      <c r="E27" s="24">
        <f>DATE(1994,8,3)</f>
        <v>34549</v>
      </c>
      <c r="F27" s="29" t="s">
        <v>51</v>
      </c>
      <c r="G27" s="15">
        <v>3</v>
      </c>
      <c r="H27" s="15">
        <v>47</v>
      </c>
    </row>
    <row r="28" spans="1:8" x14ac:dyDescent="0.4">
      <c r="A28" s="15"/>
      <c r="C28" s="15"/>
      <c r="E28" s="24">
        <f>DATE(1994,8,4)</f>
        <v>34550</v>
      </c>
      <c r="F28" s="29" t="s">
        <v>51</v>
      </c>
      <c r="G28" s="15">
        <v>3</v>
      </c>
      <c r="H28" s="15">
        <v>47</v>
      </c>
    </row>
    <row r="29" spans="1:8" s="18" customFormat="1" x14ac:dyDescent="0.4">
      <c r="A29" s="16">
        <v>18</v>
      </c>
      <c r="B29" s="16" t="s">
        <v>112</v>
      </c>
      <c r="C29" s="16" t="s">
        <v>113</v>
      </c>
      <c r="D29" s="16"/>
      <c r="E29" s="25">
        <f>DATE(1994,10,21)</f>
        <v>34628</v>
      </c>
      <c r="F29" s="46" t="s">
        <v>51</v>
      </c>
      <c r="G29" s="16">
        <v>3</v>
      </c>
      <c r="H29" s="18">
        <v>47</v>
      </c>
    </row>
    <row r="30" spans="1:8" s="18" customFormat="1" x14ac:dyDescent="0.4">
      <c r="A30" s="16"/>
      <c r="B30" s="16"/>
      <c r="C30" s="16"/>
      <c r="D30" s="16"/>
      <c r="E30" s="25">
        <f>DATE(1994,10,22)</f>
        <v>34629</v>
      </c>
      <c r="F30" s="46" t="s">
        <v>51</v>
      </c>
      <c r="G30" s="16">
        <v>1</v>
      </c>
      <c r="H30" s="18">
        <v>47</v>
      </c>
    </row>
    <row r="31" spans="1:8" x14ac:dyDescent="0.4">
      <c r="A31" s="15">
        <v>19</v>
      </c>
      <c r="B31" s="13" t="s">
        <v>112</v>
      </c>
      <c r="C31" s="15" t="s">
        <v>113</v>
      </c>
      <c r="E31" s="24">
        <f>DATE(1994,11,9)</f>
        <v>34647</v>
      </c>
      <c r="F31" s="29" t="s">
        <v>51</v>
      </c>
      <c r="G31" s="15">
        <v>3</v>
      </c>
      <c r="H31" s="15">
        <v>47</v>
      </c>
    </row>
    <row r="32" spans="1:8" x14ac:dyDescent="0.4">
      <c r="A32" s="15"/>
      <c r="C32" s="15"/>
      <c r="E32" s="24">
        <f>DATE(1994,11,10)</f>
        <v>34648</v>
      </c>
      <c r="F32" s="29" t="s">
        <v>51</v>
      </c>
      <c r="G32" s="15">
        <v>1</v>
      </c>
      <c r="H32" s="15">
        <v>47</v>
      </c>
    </row>
    <row r="33" spans="1:8" s="18" customFormat="1" x14ac:dyDescent="0.4">
      <c r="A33" s="16">
        <v>20</v>
      </c>
      <c r="B33" s="16" t="s">
        <v>112</v>
      </c>
      <c r="C33" s="16" t="s">
        <v>113</v>
      </c>
      <c r="D33" s="16"/>
      <c r="E33" s="17">
        <f>DATE(1996,1,5)</f>
        <v>35069</v>
      </c>
      <c r="F33" s="46" t="s">
        <v>51</v>
      </c>
      <c r="G33" s="16">
        <v>4</v>
      </c>
      <c r="H33" s="18">
        <v>47</v>
      </c>
    </row>
    <row r="34" spans="1:8" s="18" customFormat="1" x14ac:dyDescent="0.4">
      <c r="A34" s="16"/>
      <c r="B34" s="16"/>
      <c r="C34" s="16"/>
      <c r="D34" s="16"/>
      <c r="E34" s="17">
        <f>DATE(1996,1,6)</f>
        <v>35070</v>
      </c>
      <c r="F34" s="46" t="s">
        <v>51</v>
      </c>
      <c r="G34" s="16">
        <v>6</v>
      </c>
      <c r="H34" s="18">
        <v>47</v>
      </c>
    </row>
    <row r="35" spans="1:8" s="18" customFormat="1" x14ac:dyDescent="0.4">
      <c r="A35" s="16"/>
      <c r="B35" s="16"/>
      <c r="C35" s="16"/>
      <c r="D35" s="16"/>
      <c r="E35" s="17">
        <f>DATE(1996,1,7)</f>
        <v>35071</v>
      </c>
      <c r="F35" s="46" t="s">
        <v>51</v>
      </c>
      <c r="G35" s="16">
        <v>6</v>
      </c>
      <c r="H35" s="18">
        <v>47</v>
      </c>
    </row>
    <row r="36" spans="1:8" s="18" customFormat="1" x14ac:dyDescent="0.4">
      <c r="A36" s="16"/>
      <c r="B36" s="16"/>
      <c r="C36" s="16"/>
      <c r="D36" s="16"/>
      <c r="E36" s="17">
        <f>DATE(1996,1,8)</f>
        <v>35072</v>
      </c>
      <c r="F36" s="46" t="s">
        <v>51</v>
      </c>
      <c r="G36" s="16">
        <v>11</v>
      </c>
      <c r="H36" s="18">
        <v>47</v>
      </c>
    </row>
    <row r="37" spans="1:8" s="18" customFormat="1" x14ac:dyDescent="0.4">
      <c r="A37" s="16"/>
      <c r="B37" s="16"/>
      <c r="C37" s="16"/>
      <c r="D37" s="16"/>
      <c r="E37" s="17">
        <f>DATE(1996,1,9)</f>
        <v>35073</v>
      </c>
      <c r="F37" s="46" t="s">
        <v>51</v>
      </c>
      <c r="G37" s="16">
        <v>12</v>
      </c>
      <c r="H37" s="18">
        <v>47</v>
      </c>
    </row>
    <row r="38" spans="1:8" s="18" customFormat="1" x14ac:dyDescent="0.4">
      <c r="A38" s="16"/>
      <c r="B38" s="16"/>
      <c r="C38" s="16"/>
      <c r="D38" s="16"/>
      <c r="E38" s="17">
        <f>DATE(1996,1,10)</f>
        <v>35074</v>
      </c>
      <c r="F38" s="46" t="s">
        <v>51</v>
      </c>
      <c r="G38" s="16">
        <v>8</v>
      </c>
      <c r="H38" s="18">
        <v>47</v>
      </c>
    </row>
    <row r="39" spans="1:8" s="18" customFormat="1" x14ac:dyDescent="0.4">
      <c r="A39" s="16"/>
      <c r="B39" s="16"/>
      <c r="C39" s="16"/>
      <c r="D39" s="16"/>
      <c r="E39" s="17">
        <f>DATE(1996,1,11)</f>
        <v>35075</v>
      </c>
      <c r="F39" s="46" t="s">
        <v>51</v>
      </c>
      <c r="G39" s="16">
        <v>9</v>
      </c>
      <c r="H39" s="18">
        <v>47</v>
      </c>
    </row>
    <row r="40" spans="1:8" s="18" customFormat="1" x14ac:dyDescent="0.4">
      <c r="A40" s="16"/>
      <c r="B40" s="16"/>
      <c r="C40" s="16"/>
      <c r="D40" s="16"/>
      <c r="E40" s="17">
        <f>DATE(1996,1,12)</f>
        <v>35076</v>
      </c>
      <c r="F40" s="46" t="s">
        <v>51</v>
      </c>
      <c r="G40" s="16">
        <v>10</v>
      </c>
      <c r="H40" s="18">
        <v>47</v>
      </c>
    </row>
    <row r="41" spans="1:8" s="18" customFormat="1" x14ac:dyDescent="0.4">
      <c r="A41" s="16"/>
      <c r="B41" s="16"/>
      <c r="C41" s="16"/>
      <c r="D41" s="16"/>
      <c r="E41" s="17">
        <f>DATE(1996,1,13)</f>
        <v>35077</v>
      </c>
      <c r="F41" s="46" t="s">
        <v>51</v>
      </c>
      <c r="G41" s="16">
        <v>5</v>
      </c>
      <c r="H41" s="18">
        <v>47</v>
      </c>
    </row>
    <row r="42" spans="1:8" s="18" customFormat="1" x14ac:dyDescent="0.4">
      <c r="A42" s="16"/>
      <c r="B42" s="16"/>
      <c r="C42" s="16"/>
      <c r="D42" s="16"/>
      <c r="E42" s="17">
        <f>DATE(1996,1,14)</f>
        <v>35078</v>
      </c>
      <c r="F42" s="46" t="s">
        <v>51</v>
      </c>
      <c r="G42" s="16">
        <v>4</v>
      </c>
      <c r="H42" s="18">
        <v>47</v>
      </c>
    </row>
    <row r="43" spans="1:8" s="18" customFormat="1" x14ac:dyDescent="0.4">
      <c r="A43" s="16"/>
      <c r="B43" s="16"/>
      <c r="C43" s="16"/>
      <c r="D43" s="16"/>
      <c r="E43" s="17">
        <f>DATE(1996,1,15)</f>
        <v>35079</v>
      </c>
      <c r="F43" s="46" t="s">
        <v>51</v>
      </c>
      <c r="G43" s="16">
        <v>5</v>
      </c>
      <c r="H43" s="18">
        <v>47</v>
      </c>
    </row>
    <row r="44" spans="1:8" x14ac:dyDescent="0.4">
      <c r="A44" s="15">
        <v>21</v>
      </c>
      <c r="B44" s="13" t="s">
        <v>76</v>
      </c>
      <c r="C44" s="15" t="s">
        <v>77</v>
      </c>
      <c r="E44" s="26" t="s">
        <v>114</v>
      </c>
      <c r="F44" s="29" t="s">
        <v>51</v>
      </c>
      <c r="G44" s="15">
        <v>1</v>
      </c>
      <c r="H44" s="15">
        <v>47</v>
      </c>
    </row>
    <row r="45" spans="1:8" x14ac:dyDescent="0.4">
      <c r="A45" s="15"/>
      <c r="B45" s="13" t="s">
        <v>80</v>
      </c>
      <c r="C45" s="15" t="s">
        <v>75</v>
      </c>
      <c r="E45" s="24">
        <f>DATE(1996,3,1)</f>
        <v>35125</v>
      </c>
      <c r="F45" s="29" t="s">
        <v>51</v>
      </c>
      <c r="G45" s="15">
        <v>21</v>
      </c>
      <c r="H45" s="15">
        <v>47</v>
      </c>
    </row>
    <row r="46" spans="1:8" x14ac:dyDescent="0.4">
      <c r="A46" s="15"/>
      <c r="C46" s="15"/>
      <c r="E46" s="24">
        <f>DATE(1996,3,2)</f>
        <v>35126</v>
      </c>
      <c r="F46" s="29" t="s">
        <v>51</v>
      </c>
      <c r="G46" s="15">
        <v>8</v>
      </c>
      <c r="H46" s="15">
        <v>47</v>
      </c>
    </row>
    <row r="47" spans="1:8" x14ac:dyDescent="0.4">
      <c r="A47" s="15"/>
      <c r="C47" s="15"/>
      <c r="E47" s="24">
        <f>DATE(1996,3,3)</f>
        <v>35127</v>
      </c>
      <c r="F47" s="29" t="s">
        <v>51</v>
      </c>
      <c r="G47" s="15">
        <v>3</v>
      </c>
      <c r="H47" s="15">
        <v>47</v>
      </c>
    </row>
    <row r="48" spans="1:8" x14ac:dyDescent="0.4">
      <c r="A48" s="15"/>
      <c r="C48" s="15"/>
      <c r="E48" s="24">
        <f>DATE(1996,3,4)</f>
        <v>35128</v>
      </c>
      <c r="F48" s="29" t="s">
        <v>51</v>
      </c>
      <c r="G48" s="15">
        <v>3</v>
      </c>
      <c r="H48" s="15">
        <v>47</v>
      </c>
    </row>
    <row r="49" spans="1:8" x14ac:dyDescent="0.4">
      <c r="A49" s="15"/>
      <c r="C49" s="15"/>
      <c r="E49" s="24">
        <f>DATE(1996,3,5)</f>
        <v>35129</v>
      </c>
      <c r="F49" s="29" t="s">
        <v>51</v>
      </c>
      <c r="G49" s="15">
        <v>14</v>
      </c>
      <c r="H49" s="15">
        <v>47</v>
      </c>
    </row>
    <row r="50" spans="1:8" x14ac:dyDescent="0.4">
      <c r="A50" s="15"/>
      <c r="C50" s="15"/>
      <c r="E50" s="24">
        <f>DATE(1996,3,6)</f>
        <v>35130</v>
      </c>
      <c r="F50" s="29" t="s">
        <v>51</v>
      </c>
      <c r="G50" s="15">
        <v>15</v>
      </c>
      <c r="H50" s="15">
        <v>47</v>
      </c>
    </row>
    <row r="51" spans="1:8" x14ac:dyDescent="0.4">
      <c r="A51" s="15"/>
      <c r="C51" s="15"/>
      <c r="E51" s="24">
        <f>DATE(1996,3,7)</f>
        <v>35131</v>
      </c>
      <c r="F51" s="29" t="s">
        <v>51</v>
      </c>
      <c r="G51" s="15">
        <v>9</v>
      </c>
      <c r="H51" s="15">
        <v>47</v>
      </c>
    </row>
    <row r="52" spans="1:8" x14ac:dyDescent="0.4">
      <c r="A52" s="15"/>
      <c r="C52" s="15"/>
      <c r="E52" s="24">
        <f>DATE(1996,3,8)</f>
        <v>35132</v>
      </c>
      <c r="F52" s="29" t="s">
        <v>51</v>
      </c>
      <c r="G52" s="15">
        <v>12</v>
      </c>
      <c r="H52" s="15">
        <v>47</v>
      </c>
    </row>
    <row r="53" spans="1:8" x14ac:dyDescent="0.4">
      <c r="A53" s="15"/>
      <c r="C53" s="15"/>
      <c r="E53" s="24">
        <f>DATE(1996,3,9)</f>
        <v>35133</v>
      </c>
      <c r="F53" s="29" t="s">
        <v>51</v>
      </c>
      <c r="G53" s="15">
        <v>7</v>
      </c>
      <c r="H53" s="15">
        <v>47</v>
      </c>
    </row>
    <row r="54" spans="1:8" x14ac:dyDescent="0.4">
      <c r="A54" s="15"/>
      <c r="C54" s="15"/>
      <c r="E54" s="24">
        <f>DATE(1996,3,10)</f>
        <v>35134</v>
      </c>
      <c r="F54" s="29" t="s">
        <v>51</v>
      </c>
      <c r="G54" s="15">
        <v>6</v>
      </c>
      <c r="H54" s="15">
        <v>47</v>
      </c>
    </row>
    <row r="55" spans="1:8" x14ac:dyDescent="0.4">
      <c r="A55" s="15"/>
      <c r="C55" s="15"/>
      <c r="E55" s="24">
        <f>DATE(1996,3,11)</f>
        <v>35135</v>
      </c>
      <c r="F55" s="29" t="s">
        <v>51</v>
      </c>
      <c r="G55" s="15">
        <v>8</v>
      </c>
      <c r="H55" s="15">
        <v>47</v>
      </c>
    </row>
    <row r="56" spans="1:8" x14ac:dyDescent="0.4">
      <c r="A56" s="15"/>
      <c r="C56" s="15"/>
      <c r="E56" s="24">
        <f>DATE(1996,3,12)</f>
        <v>35136</v>
      </c>
      <c r="F56" s="29" t="s">
        <v>51</v>
      </c>
      <c r="G56" s="15">
        <v>30</v>
      </c>
      <c r="H56" s="15">
        <v>47</v>
      </c>
    </row>
    <row r="57" spans="1:8" x14ac:dyDescent="0.4">
      <c r="A57" s="15"/>
      <c r="C57" s="15"/>
      <c r="E57" s="24">
        <f>DATE(1996,3,13)</f>
        <v>35137</v>
      </c>
      <c r="F57" s="29" t="s">
        <v>51</v>
      </c>
      <c r="G57" s="15">
        <v>7</v>
      </c>
      <c r="H57" s="15">
        <v>47</v>
      </c>
    </row>
    <row r="58" spans="1:8" x14ac:dyDescent="0.4">
      <c r="A58" s="15"/>
      <c r="C58" s="15"/>
      <c r="E58" s="24">
        <f>DATE(1996,3,14)</f>
        <v>35138</v>
      </c>
      <c r="F58" s="29" t="s">
        <v>51</v>
      </c>
      <c r="G58" s="15">
        <v>6</v>
      </c>
      <c r="H58" s="15">
        <v>47</v>
      </c>
    </row>
    <row r="59" spans="1:8" x14ac:dyDescent="0.4">
      <c r="A59" s="15"/>
      <c r="C59" s="15"/>
      <c r="E59" s="24">
        <f>DATE(1996,3,15)</f>
        <v>35139</v>
      </c>
      <c r="F59" s="29" t="s">
        <v>51</v>
      </c>
      <c r="G59" s="15">
        <v>13</v>
      </c>
      <c r="H59" s="15">
        <v>47</v>
      </c>
    </row>
    <row r="60" spans="1:8" x14ac:dyDescent="0.4">
      <c r="A60" s="15"/>
      <c r="C60" s="15"/>
      <c r="E60" s="24">
        <f>DATE(1996,3,16)</f>
        <v>35140</v>
      </c>
      <c r="F60" s="29" t="s">
        <v>51</v>
      </c>
      <c r="G60" s="15">
        <v>5</v>
      </c>
      <c r="H60" s="15">
        <v>47</v>
      </c>
    </row>
    <row r="61" spans="1:8" x14ac:dyDescent="0.4">
      <c r="A61" s="15"/>
      <c r="C61" s="15"/>
      <c r="E61" s="24">
        <f>DATE(1996,3,17)</f>
        <v>35141</v>
      </c>
      <c r="F61" s="29" t="s">
        <v>51</v>
      </c>
      <c r="G61" s="15">
        <v>5</v>
      </c>
      <c r="H61" s="15">
        <v>47</v>
      </c>
    </row>
    <row r="62" spans="1:8" x14ac:dyDescent="0.4">
      <c r="A62" s="15"/>
      <c r="C62" s="15"/>
      <c r="E62" s="24">
        <f>DATE(1996,3,18)</f>
        <v>35142</v>
      </c>
      <c r="F62" s="29" t="s">
        <v>51</v>
      </c>
      <c r="G62" s="15">
        <v>18</v>
      </c>
      <c r="H62" s="15">
        <v>47</v>
      </c>
    </row>
    <row r="63" spans="1:8" x14ac:dyDescent="0.4">
      <c r="A63" s="15"/>
      <c r="C63" s="15"/>
      <c r="E63" s="24">
        <f>DATE(1996,3,19)</f>
        <v>35143</v>
      </c>
      <c r="F63" s="29" t="s">
        <v>51</v>
      </c>
      <c r="G63" s="15">
        <v>5</v>
      </c>
      <c r="H63" s="15">
        <v>47</v>
      </c>
    </row>
    <row r="64" spans="1:8" x14ac:dyDescent="0.4">
      <c r="A64" s="15"/>
      <c r="C64" s="15"/>
      <c r="E64" s="24">
        <f>DATE(1996,3,20)</f>
        <v>35144</v>
      </c>
      <c r="F64" s="29" t="s">
        <v>51</v>
      </c>
      <c r="G64" s="15">
        <v>6</v>
      </c>
      <c r="H64" s="15">
        <v>47</v>
      </c>
    </row>
    <row r="65" spans="1:8" x14ac:dyDescent="0.4">
      <c r="A65" s="15"/>
      <c r="C65" s="15"/>
      <c r="E65" s="24">
        <f>DATE(1996,3,21)</f>
        <v>35145</v>
      </c>
      <c r="F65" s="29" t="s">
        <v>51</v>
      </c>
      <c r="G65" s="15">
        <v>5</v>
      </c>
      <c r="H65" s="15">
        <v>47</v>
      </c>
    </row>
    <row r="66" spans="1:8" x14ac:dyDescent="0.4">
      <c r="A66" s="15"/>
      <c r="C66" s="15"/>
      <c r="E66" s="24">
        <f>DATE(1996,3,22)</f>
        <v>35146</v>
      </c>
      <c r="F66" s="29" t="s">
        <v>51</v>
      </c>
      <c r="G66" s="15">
        <v>13</v>
      </c>
      <c r="H66" s="15">
        <v>47</v>
      </c>
    </row>
    <row r="67" spans="1:8" x14ac:dyDescent="0.4">
      <c r="A67" s="15"/>
      <c r="C67" s="15"/>
      <c r="E67" s="24">
        <f>DATE(1996,3,23)</f>
        <v>35147</v>
      </c>
      <c r="F67" s="29" t="s">
        <v>51</v>
      </c>
      <c r="G67" s="15">
        <v>5</v>
      </c>
      <c r="H67" s="15">
        <v>47</v>
      </c>
    </row>
    <row r="68" spans="1:8" x14ac:dyDescent="0.4">
      <c r="A68" s="15"/>
      <c r="C68" s="15"/>
      <c r="E68" s="24">
        <f>DATE(1996,3,24)</f>
        <v>35148</v>
      </c>
      <c r="F68" s="29" t="s">
        <v>51</v>
      </c>
      <c r="G68" s="15">
        <v>16</v>
      </c>
      <c r="H68" s="15">
        <v>47</v>
      </c>
    </row>
    <row r="69" spans="1:8" x14ac:dyDescent="0.4">
      <c r="A69" s="15"/>
      <c r="C69" s="15"/>
      <c r="E69" s="24">
        <f>DATE(1996,3,25)</f>
        <v>35149</v>
      </c>
      <c r="F69" s="29" t="s">
        <v>51</v>
      </c>
      <c r="G69" s="15">
        <v>12</v>
      </c>
      <c r="H69" s="15">
        <v>47</v>
      </c>
    </row>
    <row r="70" spans="1:8" x14ac:dyDescent="0.4">
      <c r="A70" s="15"/>
      <c r="C70" s="15"/>
      <c r="E70" s="24">
        <f>DATE(1996,3,26)</f>
        <v>35150</v>
      </c>
      <c r="F70" s="29" t="s">
        <v>51</v>
      </c>
      <c r="G70" s="15">
        <v>16</v>
      </c>
      <c r="H70" s="15">
        <v>47</v>
      </c>
    </row>
    <row r="71" spans="1:8" x14ac:dyDescent="0.4">
      <c r="A71" s="15"/>
      <c r="C71" s="15"/>
      <c r="E71" s="24">
        <f>DATE(1996,3,27)</f>
        <v>35151</v>
      </c>
      <c r="F71" s="29" t="s">
        <v>51</v>
      </c>
      <c r="G71" s="15">
        <v>9</v>
      </c>
      <c r="H71" s="15">
        <v>47</v>
      </c>
    </row>
    <row r="72" spans="1:8" x14ac:dyDescent="0.4">
      <c r="A72" s="15"/>
      <c r="C72" s="15"/>
      <c r="E72" s="24">
        <f>DATE(1996,3,28)</f>
        <v>35152</v>
      </c>
      <c r="F72" s="29" t="s">
        <v>51</v>
      </c>
      <c r="G72" s="15">
        <v>11</v>
      </c>
      <c r="H72" s="15">
        <v>47</v>
      </c>
    </row>
    <row r="73" spans="1:8" s="18" customFormat="1" x14ac:dyDescent="0.4">
      <c r="A73" s="16">
        <v>22</v>
      </c>
      <c r="B73" s="16" t="s">
        <v>115</v>
      </c>
      <c r="C73" s="16" t="s">
        <v>113</v>
      </c>
      <c r="D73" s="16"/>
      <c r="E73" s="17">
        <f>DATE(1996,5,27)</f>
        <v>35212</v>
      </c>
      <c r="F73" s="46" t="s">
        <v>51</v>
      </c>
      <c r="G73" s="16">
        <v>17</v>
      </c>
      <c r="H73" s="18">
        <v>47</v>
      </c>
    </row>
    <row r="74" spans="1:8" s="18" customFormat="1" x14ac:dyDescent="0.4">
      <c r="A74" s="16"/>
      <c r="B74" s="16"/>
      <c r="C74" s="16"/>
      <c r="D74" s="16"/>
      <c r="E74" s="17">
        <f>DATE(1996,5,28)</f>
        <v>35213</v>
      </c>
      <c r="F74" s="46" t="s">
        <v>51</v>
      </c>
      <c r="G74" s="16">
        <v>12</v>
      </c>
      <c r="H74" s="18">
        <v>47</v>
      </c>
    </row>
    <row r="75" spans="1:8" s="18" customFormat="1" x14ac:dyDescent="0.4">
      <c r="A75" s="16"/>
      <c r="B75" s="16"/>
      <c r="C75" s="16"/>
      <c r="D75" s="16"/>
      <c r="E75" s="17">
        <f>DATE(1996,5,29)</f>
        <v>35214</v>
      </c>
      <c r="F75" s="46" t="s">
        <v>51</v>
      </c>
      <c r="G75" s="16">
        <v>18</v>
      </c>
      <c r="H75" s="18">
        <v>47</v>
      </c>
    </row>
    <row r="76" spans="1:8" s="18" customFormat="1" x14ac:dyDescent="0.4">
      <c r="A76" s="16"/>
      <c r="B76" s="16"/>
      <c r="C76" s="16"/>
      <c r="D76" s="16"/>
      <c r="E76" s="17">
        <f>DATE(1996,5,30)</f>
        <v>35215</v>
      </c>
      <c r="F76" s="46" t="s">
        <v>51</v>
      </c>
      <c r="G76" s="16">
        <v>11</v>
      </c>
      <c r="H76" s="18">
        <v>47</v>
      </c>
    </row>
    <row r="77" spans="1:8" s="18" customFormat="1" x14ac:dyDescent="0.4">
      <c r="A77" s="16"/>
      <c r="B77" s="16"/>
      <c r="C77" s="16"/>
      <c r="D77" s="16"/>
      <c r="E77" s="17">
        <f>DATE(1996,5,31)</f>
        <v>35216</v>
      </c>
      <c r="F77" s="46" t="s">
        <v>51</v>
      </c>
      <c r="G77" s="16">
        <v>7</v>
      </c>
      <c r="H77" s="18">
        <v>47</v>
      </c>
    </row>
    <row r="78" spans="1:8" x14ac:dyDescent="0.4">
      <c r="A78" s="13">
        <v>23</v>
      </c>
      <c r="B78" s="13" t="s">
        <v>115</v>
      </c>
      <c r="C78" s="13" t="s">
        <v>113</v>
      </c>
      <c r="E78" s="14">
        <f>DATE(1996,6,13)</f>
        <v>35229</v>
      </c>
      <c r="F78" s="19" t="s">
        <v>51</v>
      </c>
      <c r="G78" s="13">
        <v>8</v>
      </c>
      <c r="H78" s="15">
        <v>47</v>
      </c>
    </row>
    <row r="79" spans="1:8" x14ac:dyDescent="0.4">
      <c r="E79" s="14">
        <f>DATE(1996,6,14)</f>
        <v>35230</v>
      </c>
      <c r="F79" s="19" t="s">
        <v>51</v>
      </c>
      <c r="G79" s="13">
        <v>6</v>
      </c>
      <c r="H79" s="15">
        <v>47</v>
      </c>
    </row>
    <row r="80" spans="1:8" x14ac:dyDescent="0.4">
      <c r="E80" s="14">
        <f>DATE(1996,6,15)</f>
        <v>35231</v>
      </c>
      <c r="F80" s="19" t="s">
        <v>51</v>
      </c>
      <c r="G80" s="13">
        <v>13</v>
      </c>
      <c r="H80" s="15">
        <v>47</v>
      </c>
    </row>
    <row r="81" spans="1:8" x14ac:dyDescent="0.4">
      <c r="E81" s="14">
        <f>DATE(1996,6,16)</f>
        <v>35232</v>
      </c>
      <c r="F81" s="19" t="s">
        <v>51</v>
      </c>
      <c r="G81" s="13">
        <v>20</v>
      </c>
      <c r="H81" s="15">
        <v>47</v>
      </c>
    </row>
    <row r="82" spans="1:8" x14ac:dyDescent="0.4">
      <c r="E82" s="14">
        <f>DATE(1996,6,17)</f>
        <v>35233</v>
      </c>
      <c r="F82" s="19" t="s">
        <v>51</v>
      </c>
      <c r="G82" s="13">
        <v>1</v>
      </c>
      <c r="H82" s="15">
        <v>47</v>
      </c>
    </row>
    <row r="83" spans="1:8" s="18" customFormat="1" x14ac:dyDescent="0.4">
      <c r="A83" s="16">
        <v>24</v>
      </c>
      <c r="B83" s="16" t="s">
        <v>115</v>
      </c>
      <c r="C83" s="16" t="s">
        <v>113</v>
      </c>
      <c r="D83" s="16"/>
      <c r="E83" s="17">
        <f>DATE(1996,12,10)</f>
        <v>35409</v>
      </c>
      <c r="F83" s="46" t="s">
        <v>51</v>
      </c>
      <c r="G83" s="16">
        <v>3</v>
      </c>
      <c r="H83" s="18">
        <v>47</v>
      </c>
    </row>
    <row r="84" spans="1:8" s="18" customFormat="1" x14ac:dyDescent="0.4">
      <c r="A84" s="16"/>
      <c r="B84" s="16"/>
      <c r="C84" s="16"/>
      <c r="D84" s="16"/>
      <c r="E84" s="17">
        <f>DATE(1996,12,11)</f>
        <v>35410</v>
      </c>
      <c r="F84" s="46" t="s">
        <v>51</v>
      </c>
      <c r="G84" s="16">
        <v>8</v>
      </c>
      <c r="H84" s="18">
        <v>47</v>
      </c>
    </row>
    <row r="85" spans="1:8" s="18" customFormat="1" x14ac:dyDescent="0.4">
      <c r="A85" s="16"/>
      <c r="B85" s="16"/>
      <c r="C85" s="16"/>
      <c r="D85" s="16"/>
      <c r="E85" s="17">
        <f>DATE(1996,12,12)</f>
        <v>35411</v>
      </c>
      <c r="F85" s="46" t="s">
        <v>51</v>
      </c>
      <c r="G85" s="16">
        <v>9</v>
      </c>
      <c r="H85" s="18">
        <v>47</v>
      </c>
    </row>
    <row r="86" spans="1:8" s="18" customFormat="1" x14ac:dyDescent="0.4">
      <c r="A86" s="16"/>
      <c r="B86" s="16"/>
      <c r="C86" s="16"/>
      <c r="D86" s="16"/>
      <c r="E86" s="17">
        <f>DATE(1996,12,13)</f>
        <v>35412</v>
      </c>
      <c r="F86" s="46" t="s">
        <v>51</v>
      </c>
      <c r="G86" s="16">
        <v>7</v>
      </c>
      <c r="H86" s="18">
        <v>47</v>
      </c>
    </row>
    <row r="87" spans="1:8" s="18" customFormat="1" x14ac:dyDescent="0.4">
      <c r="A87" s="16"/>
      <c r="B87" s="16"/>
      <c r="C87" s="16"/>
      <c r="D87" s="16"/>
      <c r="E87" s="17">
        <f>DATE(1996,12,14)</f>
        <v>35413</v>
      </c>
      <c r="F87" s="46" t="s">
        <v>51</v>
      </c>
      <c r="G87" s="16">
        <v>2</v>
      </c>
      <c r="H87" s="18">
        <v>47</v>
      </c>
    </row>
    <row r="88" spans="1:8" x14ac:dyDescent="0.4">
      <c r="A88" s="15">
        <v>25</v>
      </c>
      <c r="B88" s="13" t="s">
        <v>83</v>
      </c>
      <c r="C88" s="15"/>
      <c r="E88" s="24"/>
      <c r="F88" s="29" t="s">
        <v>51</v>
      </c>
      <c r="G88" s="15">
        <v>8</v>
      </c>
      <c r="H88" s="15">
        <v>47</v>
      </c>
    </row>
    <row r="89" spans="1:8" s="18" customFormat="1" x14ac:dyDescent="0.4">
      <c r="A89" s="16">
        <v>26</v>
      </c>
      <c r="B89" s="16" t="s">
        <v>116</v>
      </c>
      <c r="C89" s="16"/>
      <c r="D89" s="16"/>
      <c r="E89" s="17" t="s">
        <v>85</v>
      </c>
      <c r="F89" s="46" t="s">
        <v>51</v>
      </c>
      <c r="G89" s="16">
        <v>6</v>
      </c>
      <c r="H89" s="18">
        <v>47</v>
      </c>
    </row>
    <row r="90" spans="1:8" ht="24" x14ac:dyDescent="0.4">
      <c r="A90" s="15">
        <v>27</v>
      </c>
      <c r="B90" s="13" t="s">
        <v>117</v>
      </c>
      <c r="C90" s="15"/>
      <c r="E90" s="26" t="s">
        <v>85</v>
      </c>
      <c r="F90" s="29" t="s">
        <v>51</v>
      </c>
      <c r="G90" s="15">
        <v>3</v>
      </c>
      <c r="H90" s="15">
        <v>47</v>
      </c>
    </row>
    <row r="91" spans="1:8" x14ac:dyDescent="0.4">
      <c r="A91" s="15"/>
      <c r="C91" s="15"/>
      <c r="E91" s="26"/>
      <c r="F91" s="29"/>
      <c r="G91" s="15">
        <f>SUM(G3:G90)</f>
        <v>793</v>
      </c>
    </row>
    <row r="92" spans="1:8" x14ac:dyDescent="0.4">
      <c r="E92" s="26"/>
      <c r="F92" s="76" t="s">
        <v>118</v>
      </c>
      <c r="G92" s="10"/>
    </row>
    <row r="93" spans="1:8" s="41" customFormat="1" x14ac:dyDescent="0.4">
      <c r="A93" s="39">
        <v>28</v>
      </c>
      <c r="B93" s="39" t="s">
        <v>119</v>
      </c>
      <c r="C93" s="39"/>
      <c r="D93" s="39"/>
      <c r="E93" s="40" t="s">
        <v>120</v>
      </c>
      <c r="F93" s="40">
        <v>2</v>
      </c>
      <c r="G93" s="41" t="s">
        <v>121</v>
      </c>
      <c r="H93" s="41">
        <v>47</v>
      </c>
    </row>
    <row r="94" spans="1:8" s="41" customFormat="1" x14ac:dyDescent="0.4">
      <c r="A94" s="39"/>
      <c r="B94" s="39"/>
      <c r="C94" s="39"/>
      <c r="D94" s="39"/>
      <c r="E94" s="40" t="s">
        <v>122</v>
      </c>
      <c r="F94" s="40">
        <v>2</v>
      </c>
      <c r="G94" s="41" t="s">
        <v>121</v>
      </c>
      <c r="H94" s="41">
        <v>47</v>
      </c>
    </row>
    <row r="95" spans="1:8" s="41" customFormat="1" x14ac:dyDescent="0.4">
      <c r="A95" s="39"/>
      <c r="B95" s="39"/>
      <c r="C95" s="39"/>
      <c r="D95" s="39"/>
      <c r="E95" s="40" t="s">
        <v>123</v>
      </c>
      <c r="F95" s="40">
        <v>3</v>
      </c>
      <c r="G95" s="41" t="s">
        <v>121</v>
      </c>
      <c r="H95" s="41">
        <v>47</v>
      </c>
    </row>
    <row r="96" spans="1:8" s="41" customFormat="1" x14ac:dyDescent="0.4">
      <c r="A96" s="39"/>
      <c r="B96" s="39"/>
      <c r="C96" s="39"/>
      <c r="D96" s="39"/>
      <c r="E96" s="40" t="s">
        <v>124</v>
      </c>
      <c r="F96" s="40">
        <v>2</v>
      </c>
      <c r="G96" s="41" t="s">
        <v>121</v>
      </c>
      <c r="H96" s="41">
        <v>47</v>
      </c>
    </row>
    <row r="97" spans="1:8" s="41" customFormat="1" x14ac:dyDescent="0.4">
      <c r="A97" s="39"/>
      <c r="B97" s="39"/>
      <c r="C97" s="39"/>
      <c r="D97" s="39"/>
      <c r="E97" s="40" t="s">
        <v>125</v>
      </c>
      <c r="F97" s="40">
        <v>3</v>
      </c>
      <c r="G97" s="41" t="s">
        <v>121</v>
      </c>
      <c r="H97" s="41">
        <v>47</v>
      </c>
    </row>
    <row r="98" spans="1:8" s="41" customFormat="1" x14ac:dyDescent="0.4">
      <c r="A98" s="39"/>
      <c r="B98" s="39"/>
      <c r="C98" s="39"/>
      <c r="D98" s="39"/>
      <c r="E98" s="40" t="s">
        <v>126</v>
      </c>
      <c r="F98" s="40">
        <v>3</v>
      </c>
      <c r="G98" s="41" t="s">
        <v>121</v>
      </c>
      <c r="H98" s="41">
        <v>47</v>
      </c>
    </row>
    <row r="99" spans="1:8" s="41" customFormat="1" x14ac:dyDescent="0.4">
      <c r="A99" s="39"/>
      <c r="B99" s="39"/>
      <c r="C99" s="39"/>
      <c r="D99" s="39"/>
      <c r="E99" s="40" t="s">
        <v>127</v>
      </c>
      <c r="F99" s="40">
        <v>3</v>
      </c>
      <c r="G99" s="41" t="s">
        <v>121</v>
      </c>
      <c r="H99" s="41">
        <v>47</v>
      </c>
    </row>
    <row r="100" spans="1:8" s="41" customFormat="1" x14ac:dyDescent="0.4">
      <c r="A100" s="39"/>
      <c r="B100" s="39"/>
      <c r="C100" s="39"/>
      <c r="D100" s="39"/>
      <c r="E100" s="40" t="s">
        <v>128</v>
      </c>
      <c r="F100" s="40">
        <v>3</v>
      </c>
      <c r="G100" s="41" t="s">
        <v>121</v>
      </c>
      <c r="H100" s="41">
        <v>47</v>
      </c>
    </row>
    <row r="101" spans="1:8" s="41" customFormat="1" x14ac:dyDescent="0.4">
      <c r="A101" s="39"/>
      <c r="B101" s="39"/>
      <c r="C101" s="39"/>
      <c r="D101" s="39"/>
      <c r="E101" s="40" t="s">
        <v>129</v>
      </c>
      <c r="F101" s="40">
        <v>4</v>
      </c>
      <c r="G101" s="41" t="s">
        <v>121</v>
      </c>
      <c r="H101" s="41">
        <v>47</v>
      </c>
    </row>
    <row r="102" spans="1:8" s="41" customFormat="1" x14ac:dyDescent="0.4">
      <c r="A102" s="39"/>
      <c r="B102" s="39"/>
      <c r="C102" s="39"/>
      <c r="D102" s="39"/>
      <c r="E102" s="40" t="s">
        <v>130</v>
      </c>
      <c r="F102" s="40">
        <v>2</v>
      </c>
      <c r="G102" s="41" t="s">
        <v>121</v>
      </c>
      <c r="H102" s="41">
        <v>47</v>
      </c>
    </row>
    <row r="103" spans="1:8" s="41" customFormat="1" x14ac:dyDescent="0.4">
      <c r="A103" s="39"/>
      <c r="B103" s="39"/>
      <c r="C103" s="39"/>
      <c r="D103" s="39"/>
      <c r="E103" s="40" t="s">
        <v>131</v>
      </c>
      <c r="F103" s="40">
        <v>2</v>
      </c>
      <c r="G103" s="41" t="s">
        <v>121</v>
      </c>
      <c r="H103" s="41">
        <v>47</v>
      </c>
    </row>
    <row r="104" spans="1:8" x14ac:dyDescent="0.4">
      <c r="F104" s="19">
        <f>SUM(F93:F103)</f>
        <v>29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E00D-7F8E-44DF-940E-BC645A39655B}">
  <dimension ref="A1:H7"/>
  <sheetViews>
    <sheetView workbookViewId="0">
      <selection activeCell="G7" sqref="G7"/>
    </sheetView>
  </sheetViews>
  <sheetFormatPr defaultColWidth="11.5546875" defaultRowHeight="12" x14ac:dyDescent="0.4"/>
  <cols>
    <col min="1" max="1" width="3.6640625" style="13" customWidth="1"/>
    <col min="2" max="2" width="33.6640625" style="13" customWidth="1"/>
    <col min="3" max="3" width="16.5546875" style="13" customWidth="1"/>
    <col min="4" max="4" width="24.6640625" style="13" customWidth="1"/>
    <col min="5" max="5" width="13.77734375" style="14" customWidth="1"/>
    <col min="6" max="6" width="9.77734375" style="19" customWidth="1"/>
    <col min="7" max="7" width="3.77734375" style="13" customWidth="1"/>
    <col min="8" max="8" width="4.77734375" style="15" customWidth="1"/>
    <col min="9" max="16384" width="11.5546875" style="15"/>
  </cols>
  <sheetData>
    <row r="1" spans="1:8" s="21" customFormat="1" x14ac:dyDescent="0.4">
      <c r="A1" s="95" t="s">
        <v>132</v>
      </c>
      <c r="B1" s="95"/>
      <c r="C1" s="95"/>
      <c r="D1" s="20"/>
      <c r="E1" s="28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s="47" customFormat="1" x14ac:dyDescent="0.4">
      <c r="A3" s="42">
        <v>1</v>
      </c>
      <c r="B3" s="13" t="s">
        <v>80</v>
      </c>
      <c r="C3" s="42" t="s">
        <v>113</v>
      </c>
      <c r="D3" s="42" t="s">
        <v>133</v>
      </c>
      <c r="E3" s="14">
        <f>DATE(2001,12,15)</f>
        <v>37240</v>
      </c>
      <c r="F3" s="19" t="s">
        <v>51</v>
      </c>
      <c r="G3" s="42">
        <v>4</v>
      </c>
      <c r="H3" s="47">
        <v>45</v>
      </c>
    </row>
    <row r="4" spans="1:8" x14ac:dyDescent="0.4">
      <c r="B4" s="13" t="s">
        <v>80</v>
      </c>
      <c r="C4" s="13" t="s">
        <v>113</v>
      </c>
      <c r="D4" s="13" t="s">
        <v>134</v>
      </c>
      <c r="E4" s="14">
        <f>DATE(2001,12,20)</f>
        <v>37245</v>
      </c>
      <c r="F4" s="19" t="s">
        <v>51</v>
      </c>
      <c r="G4" s="13">
        <v>15</v>
      </c>
      <c r="H4" s="15">
        <v>45</v>
      </c>
    </row>
    <row r="5" spans="1:8" x14ac:dyDescent="0.4">
      <c r="B5" s="13" t="s">
        <v>80</v>
      </c>
      <c r="C5" s="13" t="s">
        <v>113</v>
      </c>
      <c r="D5" s="13" t="s">
        <v>133</v>
      </c>
      <c r="E5" s="14">
        <f>DATE(2001,12,23)</f>
        <v>37248</v>
      </c>
      <c r="F5" s="19" t="s">
        <v>51</v>
      </c>
      <c r="G5" s="13">
        <v>4</v>
      </c>
      <c r="H5" s="15">
        <v>45</v>
      </c>
    </row>
    <row r="6" spans="1:8" s="41" customFormat="1" x14ac:dyDescent="0.4">
      <c r="A6" s="39">
        <v>2</v>
      </c>
      <c r="B6" s="39" t="s">
        <v>135</v>
      </c>
      <c r="C6" s="39"/>
      <c r="D6" s="39"/>
      <c r="E6" s="56">
        <f>DATE(2004,7,6)</f>
        <v>38174</v>
      </c>
      <c r="F6" s="40" t="s">
        <v>87</v>
      </c>
      <c r="G6" s="39">
        <v>2</v>
      </c>
      <c r="H6" s="41">
        <v>45</v>
      </c>
    </row>
    <row r="7" spans="1:8" x14ac:dyDescent="0.4">
      <c r="G7" s="13">
        <f>SUM(G3:G6)</f>
        <v>25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7649-43DB-4C64-A54E-B4146E73753A}">
  <dimension ref="A1:H24"/>
  <sheetViews>
    <sheetView topLeftCell="A12" workbookViewId="0">
      <selection activeCell="G24" sqref="G24"/>
    </sheetView>
  </sheetViews>
  <sheetFormatPr defaultColWidth="11.5546875" defaultRowHeight="12" x14ac:dyDescent="0.4"/>
  <cols>
    <col min="1" max="1" width="3.33203125" style="13" customWidth="1"/>
    <col min="2" max="2" width="33.88671875" style="13" customWidth="1"/>
    <col min="3" max="3" width="15.33203125" style="13" customWidth="1"/>
    <col min="4" max="4" width="31.6640625" style="13" customWidth="1"/>
    <col min="5" max="5" width="14.21875" style="30" customWidth="1"/>
    <col min="6" max="6" width="7.5546875" style="19" customWidth="1"/>
    <col min="7" max="7" width="4.109375" style="13" customWidth="1"/>
    <col min="8" max="8" width="3.77734375" style="15" customWidth="1"/>
    <col min="9" max="16384" width="11.5546875" style="15"/>
  </cols>
  <sheetData>
    <row r="1" spans="1:8" s="21" customFormat="1" x14ac:dyDescent="0.4">
      <c r="A1" s="95" t="s">
        <v>136</v>
      </c>
      <c r="B1" s="95"/>
      <c r="C1" s="95"/>
      <c r="E1" s="34"/>
      <c r="F1" s="22"/>
    </row>
    <row r="2" spans="1:8" s="78" customFormat="1" x14ac:dyDescent="0.4">
      <c r="A2" s="77" t="s">
        <v>0</v>
      </c>
      <c r="B2" s="77" t="s">
        <v>41</v>
      </c>
      <c r="C2" s="77" t="s">
        <v>42</v>
      </c>
      <c r="D2" s="77" t="s">
        <v>43</v>
      </c>
      <c r="E2" s="79" t="s">
        <v>44</v>
      </c>
      <c r="F2" s="77" t="s">
        <v>45</v>
      </c>
      <c r="G2" s="77" t="s">
        <v>46</v>
      </c>
      <c r="H2" s="78" t="s">
        <v>47</v>
      </c>
    </row>
    <row r="3" spans="1:8" x14ac:dyDescent="0.4">
      <c r="A3" s="13">
        <v>1</v>
      </c>
      <c r="B3" s="13" t="s">
        <v>137</v>
      </c>
      <c r="C3" s="13" t="s">
        <v>138</v>
      </c>
      <c r="D3" s="13" t="s">
        <v>139</v>
      </c>
      <c r="E3" s="30">
        <f>DATE(2003,5,23)</f>
        <v>37764</v>
      </c>
      <c r="F3" s="19" t="s">
        <v>51</v>
      </c>
      <c r="G3" s="13">
        <v>14</v>
      </c>
      <c r="H3" s="15">
        <v>45</v>
      </c>
    </row>
    <row r="4" spans="1:8" s="18" customFormat="1" x14ac:dyDescent="0.4">
      <c r="A4" s="16">
        <v>2</v>
      </c>
      <c r="B4" s="16" t="s">
        <v>140</v>
      </c>
      <c r="C4" s="16" t="s">
        <v>138</v>
      </c>
      <c r="D4" s="16" t="s">
        <v>139</v>
      </c>
      <c r="E4" s="31">
        <f>DATE(2004,3,24)</f>
        <v>38070</v>
      </c>
      <c r="F4" s="46" t="s">
        <v>51</v>
      </c>
      <c r="G4" s="16">
        <v>11</v>
      </c>
      <c r="H4" s="18">
        <v>45</v>
      </c>
    </row>
    <row r="5" spans="1:8" x14ac:dyDescent="0.4">
      <c r="A5" s="15">
        <v>3</v>
      </c>
      <c r="B5" s="15" t="s">
        <v>141</v>
      </c>
      <c r="C5" s="15" t="s">
        <v>77</v>
      </c>
      <c r="D5" s="15"/>
      <c r="E5" s="26" t="s">
        <v>142</v>
      </c>
      <c r="F5" s="29" t="s">
        <v>51</v>
      </c>
      <c r="G5" s="15">
        <v>1</v>
      </c>
      <c r="H5" s="15">
        <v>45</v>
      </c>
    </row>
    <row r="6" spans="1:8" x14ac:dyDescent="0.4">
      <c r="A6" s="15"/>
      <c r="B6" s="15" t="s">
        <v>112</v>
      </c>
      <c r="C6" s="15" t="s">
        <v>75</v>
      </c>
      <c r="D6" s="15"/>
      <c r="E6" s="24">
        <f>DATE(2002,9,13)</f>
        <v>37512</v>
      </c>
      <c r="F6" s="29" t="s">
        <v>51</v>
      </c>
      <c r="G6" s="15">
        <v>8</v>
      </c>
      <c r="H6" s="15">
        <v>45</v>
      </c>
    </row>
    <row r="7" spans="1:8" x14ac:dyDescent="0.4">
      <c r="A7" s="15"/>
      <c r="B7" s="15"/>
      <c r="C7" s="15"/>
      <c r="D7" s="15"/>
      <c r="E7" s="24">
        <f>DATE(2002,9,15)</f>
        <v>37514</v>
      </c>
      <c r="F7" s="29" t="s">
        <v>51</v>
      </c>
      <c r="G7" s="15">
        <v>1</v>
      </c>
      <c r="H7" s="15">
        <v>45</v>
      </c>
    </row>
    <row r="8" spans="1:8" x14ac:dyDescent="0.4">
      <c r="A8" s="15"/>
      <c r="B8" s="15"/>
      <c r="C8" s="15"/>
      <c r="D8" s="15"/>
      <c r="E8" s="24">
        <f>DATE(2002,9,16)</f>
        <v>37515</v>
      </c>
      <c r="F8" s="29" t="s">
        <v>51</v>
      </c>
      <c r="G8" s="15">
        <v>3</v>
      </c>
      <c r="H8" s="15">
        <v>45</v>
      </c>
    </row>
    <row r="9" spans="1:8" x14ac:dyDescent="0.4">
      <c r="A9" s="15"/>
      <c r="B9" s="15"/>
      <c r="C9" s="15"/>
      <c r="D9" s="15"/>
      <c r="E9" s="24">
        <f>DATE(2002,9,17)</f>
        <v>37516</v>
      </c>
      <c r="F9" s="29" t="s">
        <v>51</v>
      </c>
      <c r="G9" s="15">
        <v>3</v>
      </c>
      <c r="H9" s="15">
        <v>45</v>
      </c>
    </row>
    <row r="10" spans="1:8" x14ac:dyDescent="0.4">
      <c r="A10" s="15"/>
      <c r="B10" s="15"/>
      <c r="C10" s="15"/>
      <c r="D10" s="15"/>
      <c r="E10" s="24">
        <f>DATE(2002,9,20)</f>
        <v>37519</v>
      </c>
      <c r="F10" s="29" t="s">
        <v>51</v>
      </c>
      <c r="G10" s="15">
        <v>6</v>
      </c>
      <c r="H10" s="15">
        <v>45</v>
      </c>
    </row>
    <row r="11" spans="1:8" x14ac:dyDescent="0.4">
      <c r="A11" s="15"/>
      <c r="B11" s="15"/>
      <c r="C11" s="15"/>
      <c r="D11" s="15"/>
      <c r="E11" s="24">
        <f>DATE(2002,9,22)</f>
        <v>37521</v>
      </c>
      <c r="F11" s="29" t="s">
        <v>51</v>
      </c>
      <c r="G11" s="15">
        <v>2</v>
      </c>
      <c r="H11" s="15">
        <v>45</v>
      </c>
    </row>
    <row r="12" spans="1:8" x14ac:dyDescent="0.4">
      <c r="A12" s="15"/>
      <c r="B12" s="15"/>
      <c r="C12" s="15"/>
      <c r="D12" s="15"/>
      <c r="E12" s="24">
        <f>DATE(2002,9,24)</f>
        <v>37523</v>
      </c>
      <c r="F12" s="29" t="s">
        <v>51</v>
      </c>
      <c r="G12" s="15">
        <v>3</v>
      </c>
      <c r="H12" s="15">
        <v>45</v>
      </c>
    </row>
    <row r="13" spans="1:8" x14ac:dyDescent="0.4">
      <c r="A13" s="15"/>
      <c r="B13" s="15"/>
      <c r="C13" s="15"/>
      <c r="D13" s="15"/>
      <c r="E13" s="24">
        <f>DATE(2002,9,30)</f>
        <v>37529</v>
      </c>
      <c r="F13" s="29" t="s">
        <v>51</v>
      </c>
      <c r="G13" s="15">
        <v>2</v>
      </c>
      <c r="H13" s="15">
        <v>45</v>
      </c>
    </row>
    <row r="14" spans="1:8" s="18" customFormat="1" x14ac:dyDescent="0.4">
      <c r="A14" s="18">
        <v>4</v>
      </c>
      <c r="B14" s="18" t="s">
        <v>143</v>
      </c>
      <c r="C14" s="18" t="s">
        <v>77</v>
      </c>
      <c r="E14" s="33" t="s">
        <v>144</v>
      </c>
      <c r="F14" s="33" t="s">
        <v>51</v>
      </c>
      <c r="G14" s="18">
        <v>1</v>
      </c>
      <c r="H14" s="18">
        <v>45</v>
      </c>
    </row>
    <row r="15" spans="1:8" x14ac:dyDescent="0.4">
      <c r="A15" s="15">
        <v>5</v>
      </c>
      <c r="B15" s="15" t="s">
        <v>143</v>
      </c>
      <c r="C15" s="15" t="s">
        <v>77</v>
      </c>
      <c r="D15" s="15"/>
      <c r="E15" s="29" t="s">
        <v>145</v>
      </c>
      <c r="F15" s="29" t="s">
        <v>51</v>
      </c>
      <c r="G15" s="15">
        <v>1</v>
      </c>
      <c r="H15" s="15">
        <v>45</v>
      </c>
    </row>
    <row r="16" spans="1:8" s="18" customFormat="1" x14ac:dyDescent="0.4">
      <c r="A16" s="18">
        <v>6</v>
      </c>
      <c r="B16" s="18" t="s">
        <v>143</v>
      </c>
      <c r="C16" s="18" t="s">
        <v>77</v>
      </c>
      <c r="E16" s="33" t="s">
        <v>146</v>
      </c>
      <c r="F16" s="33" t="s">
        <v>51</v>
      </c>
      <c r="G16" s="18">
        <v>1</v>
      </c>
      <c r="H16" s="18">
        <v>45</v>
      </c>
    </row>
    <row r="17" spans="1:8" x14ac:dyDescent="0.4">
      <c r="A17" s="13">
        <v>7</v>
      </c>
      <c r="B17" s="13" t="s">
        <v>147</v>
      </c>
      <c r="C17" s="13" t="s">
        <v>75</v>
      </c>
      <c r="E17" s="30">
        <f>DATE(2003,2,24)</f>
        <v>37676</v>
      </c>
      <c r="F17" s="19" t="s">
        <v>51</v>
      </c>
      <c r="G17" s="13">
        <v>1</v>
      </c>
      <c r="H17" s="15">
        <v>45</v>
      </c>
    </row>
    <row r="18" spans="1:8" x14ac:dyDescent="0.4">
      <c r="A18" s="15"/>
      <c r="B18" s="15"/>
      <c r="C18" s="15"/>
      <c r="D18" s="15"/>
      <c r="E18" s="24">
        <f>DATE(2003,2,25)</f>
        <v>37677</v>
      </c>
      <c r="F18" s="29" t="s">
        <v>51</v>
      </c>
      <c r="G18" s="15">
        <v>19</v>
      </c>
      <c r="H18" s="15">
        <v>45</v>
      </c>
    </row>
    <row r="19" spans="1:8" s="18" customFormat="1" x14ac:dyDescent="0.4">
      <c r="A19" s="16">
        <v>8</v>
      </c>
      <c r="B19" s="16" t="s">
        <v>143</v>
      </c>
      <c r="C19" s="16" t="s">
        <v>77</v>
      </c>
      <c r="D19" s="16"/>
      <c r="E19" s="17" t="s">
        <v>148</v>
      </c>
      <c r="F19" s="46" t="s">
        <v>51</v>
      </c>
      <c r="G19" s="16">
        <v>1</v>
      </c>
      <c r="H19" s="18">
        <v>45</v>
      </c>
    </row>
    <row r="20" spans="1:8" x14ac:dyDescent="0.4">
      <c r="A20" s="15">
        <v>9</v>
      </c>
      <c r="B20" s="15" t="s">
        <v>112</v>
      </c>
      <c r="C20" s="15" t="s">
        <v>75</v>
      </c>
      <c r="D20" s="15"/>
      <c r="E20" s="24">
        <f>DATE(2003,4,1)</f>
        <v>37712</v>
      </c>
      <c r="F20" s="29" t="s">
        <v>51</v>
      </c>
      <c r="G20" s="15">
        <v>10</v>
      </c>
      <c r="H20" s="15">
        <v>45</v>
      </c>
    </row>
    <row r="21" spans="1:8" x14ac:dyDescent="0.4">
      <c r="A21" s="15"/>
      <c r="B21" s="15"/>
      <c r="C21" s="15"/>
      <c r="D21" s="15"/>
      <c r="E21" s="24">
        <f>DATE(2003,4,10)</f>
        <v>37721</v>
      </c>
      <c r="F21" s="29" t="s">
        <v>51</v>
      </c>
      <c r="G21" s="15">
        <v>9</v>
      </c>
      <c r="H21" s="15">
        <v>45</v>
      </c>
    </row>
    <row r="22" spans="1:8" x14ac:dyDescent="0.4">
      <c r="A22" s="15"/>
      <c r="B22" s="15"/>
      <c r="C22" s="15"/>
      <c r="D22" s="15"/>
      <c r="E22" s="24">
        <f>DATE(2003,4,13)</f>
        <v>37724</v>
      </c>
      <c r="F22" s="29" t="s">
        <v>51</v>
      </c>
      <c r="G22" s="15">
        <v>4</v>
      </c>
      <c r="H22" s="15">
        <v>45</v>
      </c>
    </row>
    <row r="23" spans="1:8" s="18" customFormat="1" x14ac:dyDescent="0.4">
      <c r="A23" s="16">
        <v>10</v>
      </c>
      <c r="B23" s="16" t="s">
        <v>149</v>
      </c>
      <c r="C23" s="16"/>
      <c r="D23" s="16"/>
      <c r="E23" s="31">
        <f>DATE(2004,7,6)</f>
        <v>38174</v>
      </c>
      <c r="F23" s="46" t="s">
        <v>87</v>
      </c>
      <c r="G23" s="16">
        <v>3</v>
      </c>
      <c r="H23" s="18">
        <v>45</v>
      </c>
    </row>
    <row r="24" spans="1:8" x14ac:dyDescent="0.4">
      <c r="G24" s="13">
        <f>SUM(G3:G23)</f>
        <v>104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67</vt:i4>
      </vt:variant>
    </vt:vector>
  </HeadingPairs>
  <TitlesOfParts>
    <vt:vector size="67" baseType="lpstr">
      <vt:lpstr>LIST</vt:lpstr>
      <vt:lpstr>1. ANTIETAM</vt:lpstr>
      <vt:lpstr>2. BEAUFORT</vt:lpstr>
      <vt:lpstr>3. BELLEAU WOOD</vt:lpstr>
      <vt:lpstr>4. BLUE RIDGE</vt:lpstr>
      <vt:lpstr>5. BREMERTON</vt:lpstr>
      <vt:lpstr>6. BUNKER HILL</vt:lpstr>
      <vt:lpstr>7. BRIDGE</vt:lpstr>
      <vt:lpstr>8. CAMDEN</vt:lpstr>
      <vt:lpstr>9. CARL VINSON</vt:lpstr>
      <vt:lpstr>10. CHANCELLORSVILLE</vt:lpstr>
      <vt:lpstr>11. CORAL SEA</vt:lpstr>
      <vt:lpstr>12. COWPENS</vt:lpstr>
      <vt:lpstr>13. CURTIS WILBUR</vt:lpstr>
      <vt:lpstr>14. CURTS</vt:lpstr>
      <vt:lpstr>15. CUSHING</vt:lpstr>
      <vt:lpstr>16. DALLAS</vt:lpstr>
      <vt:lpstr>17. ESSEX</vt:lpstr>
      <vt:lpstr>18. ENTERPRISE</vt:lpstr>
      <vt:lpstr>19. FIFE</vt:lpstr>
      <vt:lpstr>20. FITZGERALD</vt:lpstr>
      <vt:lpstr>21. FLETCHER</vt:lpstr>
      <vt:lpstr>22. FRANK CABLE</vt:lpstr>
      <vt:lpstr>23. GEORGE WASHINGTON</vt:lpstr>
      <vt:lpstr>24. GERMANTOWN</vt:lpstr>
      <vt:lpstr>25. GUARDIAN</vt:lpstr>
      <vt:lpstr>26. HELENA</vt:lpstr>
      <vt:lpstr>27. HEWITT</vt:lpstr>
      <vt:lpstr>28. INDEPENDENCE</vt:lpstr>
      <vt:lpstr>29. INGERSOLL</vt:lpstr>
      <vt:lpstr>31. JOHN ERICSSON</vt:lpstr>
      <vt:lpstr>32. JOHN S. MCCAIN</vt:lpstr>
      <vt:lpstr>33. JOHN YOUNG</vt:lpstr>
      <vt:lpstr>34. KINKAID</vt:lpstr>
      <vt:lpstr>35. KITTY HAWK</vt:lpstr>
      <vt:lpstr>37. LAKE CHAMPLAIN</vt:lpstr>
      <vt:lpstr>38. LAKE ERIE</vt:lpstr>
      <vt:lpstr>39. LASSEN</vt:lpstr>
      <vt:lpstr>40. LONG BEACH</vt:lpstr>
      <vt:lpstr>41. McCLUSKY</vt:lpstr>
      <vt:lpstr>42. MERRILL</vt:lpstr>
      <vt:lpstr>43. MIDWAY</vt:lpstr>
      <vt:lpstr>44. MISSOURI</vt:lpstr>
      <vt:lpstr>45. MOBILE BAY</vt:lpstr>
      <vt:lpstr>46. NIMITZ</vt:lpstr>
      <vt:lpstr>47. O'BRIEN</vt:lpstr>
      <vt:lpstr>48. OBSERVATION ISLAND</vt:lpstr>
      <vt:lpstr>49. OHIO</vt:lpstr>
      <vt:lpstr>50. OLDENDORF</vt:lpstr>
      <vt:lpstr>51. PATRIOT</vt:lpstr>
      <vt:lpstr>52. PAUL HAMILTON</vt:lpstr>
      <vt:lpstr>53. PECOS</vt:lpstr>
      <vt:lpstr>54. PHOENIX</vt:lpstr>
      <vt:lpstr>55. POGY</vt:lpstr>
      <vt:lpstr>56. PRINCETON</vt:lpstr>
      <vt:lpstr>57. RANGER</vt:lpstr>
      <vt:lpstr>58. RAINIER</vt:lpstr>
      <vt:lpstr>59. REUBEN JAMES</vt:lpstr>
      <vt:lpstr>60. RODNEY M. DAVIS</vt:lpstr>
      <vt:lpstr>61. RONALD REAGAN</vt:lpstr>
      <vt:lpstr>62. SACRAMENTO</vt:lpstr>
      <vt:lpstr>64. SAN FRANCISCO</vt:lpstr>
      <vt:lpstr>66. STETHEM</vt:lpstr>
      <vt:lpstr>67. TENNESSEE</vt:lpstr>
      <vt:lpstr>68. THACH</vt:lpstr>
      <vt:lpstr>69. TICONDEROGA</vt:lpstr>
      <vt:lpstr>70. VANDEGRIFT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PD main</cp:lastModifiedBy>
  <cp:revision/>
  <dcterms:created xsi:type="dcterms:W3CDTF">2021-02-15T14:14:06Z</dcterms:created>
  <dcterms:modified xsi:type="dcterms:W3CDTF">2022-09-08T08:50:53Z</dcterms:modified>
  <cp:category/>
  <cp:contentStatus/>
</cp:coreProperties>
</file>